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DieseArbeitsmappe"/>
  <mc:AlternateContent xmlns:mc="http://schemas.openxmlformats.org/markup-compatibility/2006">
    <mc:Choice Requires="x15">
      <x15ac:absPath xmlns:x15ac="http://schemas.microsoft.com/office/spreadsheetml/2010/11/ac" url="S:\IAB\IAB2\a7311_EDV_Prog\10_Lagerraum_DüV_Tier\2022\20_Programm an Bund\"/>
    </mc:Choice>
  </mc:AlternateContent>
  <xr:revisionPtr revIDLastSave="0" documentId="13_ncr:1_{BA46C255-2A3E-40FC-89ED-07B9FD025203}" xr6:coauthVersionLast="47" xr6:coauthVersionMax="47" xr10:uidLastSave="{00000000-0000-0000-0000-000000000000}"/>
  <workbookProtection workbookAlgorithmName="SHA-512" workbookHashValue="cIzg/NbNMgUUJK4+/7PK7ktWTDY3tWIESLS3YgJGG20YapbiHxKdZCZS5LevOEuzENdDDSZPYW3DW0PtutFbgA==" workbookSaltValue="Wfbbm9V4TDFhACaXPramaA==" workbookSpinCount="100000" lockStructure="1"/>
  <bookViews>
    <workbookView xWindow="-108" yWindow="-108" windowWidth="23256" windowHeight="12576" xr2:uid="{00000000-000D-0000-FFFF-FFFF00000000}"/>
  </bookViews>
  <sheets>
    <sheet name="Berech. Lagerraum flüssig+fest" sheetId="7" r:id="rId1"/>
    <sheet name="Abweichende Werte" sheetId="14" state="hidden" r:id="rId2"/>
    <sheet name="Tiere" sheetId="12" state="hidden" r:id="rId3"/>
    <sheet name="Stroh" sheetId="8" state="hidden" r:id="rId4"/>
  </sheets>
  <definedNames>
    <definedName name="_xlnm.Print_Area" localSheetId="0">'Berech. Lagerraum flüssig+fest'!$A$1:$K$159</definedName>
    <definedName name="Z_DDA6E6AA_9473_49A0_A3A2_76E4959B79AF_.wvu.Cols" localSheetId="1" hidden="1">'Abweichende Werte'!$T:$X</definedName>
    <definedName name="Z_DDA6E6AA_9473_49A0_A3A2_76E4959B79AF_.wvu.Cols" localSheetId="0" hidden="1">'Berech. Lagerraum flüssig+fest'!$M:$CH</definedName>
    <definedName name="Z_DDA6E6AA_9473_49A0_A3A2_76E4959B79AF_.wvu.PrintArea" localSheetId="0" hidden="1">'Berech. Lagerraum flüssig+fest'!$A$1:$K$158</definedName>
  </definedNames>
  <calcPr calcId="191029"/>
  <customWorkbookViews>
    <customWorkbookView name="Hierlmeier, Michael (LfL) - Persönliche Ansicht" guid="{DDA6E6AA-9473-49A0-A3A2-76E4959B79AF}" mergeInterval="0" personalView="1" maximized="1" windowWidth="1680" windowHeight="825" activeSheetId="7"/>
    <customWorkbookView name="msbo - Persönliche Ansicht" guid="{BBF2F1EA-E8F4-4EE9-83EA-DB847D7BDAAF}" mergeInterval="0" personalView="1" xWindow="5" yWindow="30" windowWidth="1266" windowHeight="78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26" i="7" l="1"/>
  <c r="BF27" i="7"/>
  <c r="BF28" i="7"/>
  <c r="BF29" i="7"/>
  <c r="BF30" i="7"/>
  <c r="BF31" i="7"/>
  <c r="BF32" i="7"/>
  <c r="BF33" i="7"/>
  <c r="BF34" i="7"/>
  <c r="BF35" i="7"/>
  <c r="BF36" i="7"/>
  <c r="BF25" i="7"/>
  <c r="N5" i="7" l="1" a="1"/>
  <c r="N5" i="7" s="1"/>
  <c r="B16" i="7"/>
  <c r="T37" i="7" l="1"/>
  <c r="R37" i="7"/>
  <c r="P37" i="7"/>
  <c r="N37" i="7" l="1"/>
  <c r="C87" i="12" l="1"/>
  <c r="F87" i="12"/>
  <c r="E87" i="12"/>
  <c r="D87" i="12"/>
  <c r="L87" i="12"/>
  <c r="M87" i="12"/>
  <c r="N87" i="12"/>
  <c r="O87" i="12"/>
  <c r="M74" i="12"/>
  <c r="M73" i="12"/>
  <c r="M72" i="12"/>
  <c r="N74" i="12"/>
  <c r="N73" i="12"/>
  <c r="N72" i="12"/>
  <c r="E16" i="12" l="1"/>
  <c r="A94" i="7" l="1"/>
  <c r="A158" i="7" s="1"/>
  <c r="M14" i="7"/>
  <c r="CT38" i="7" l="1"/>
  <c r="CS38" i="7"/>
  <c r="CR38" i="7"/>
  <c r="M111" i="7"/>
  <c r="I111" i="7" s="1"/>
  <c r="CO38" i="7"/>
  <c r="Z38" i="7"/>
  <c r="Y38" i="7"/>
  <c r="X38" i="7"/>
  <c r="W38" i="7"/>
  <c r="CP38" i="7"/>
  <c r="AZ41" i="7"/>
  <c r="AZ40" i="7"/>
  <c r="AZ39" i="7"/>
  <c r="AZ38" i="7"/>
  <c r="AZ36" i="7"/>
  <c r="AZ35" i="7"/>
  <c r="AZ34" i="7"/>
  <c r="AZ33" i="7"/>
  <c r="AZ32" i="7"/>
  <c r="AZ31" i="7"/>
  <c r="AZ30" i="7"/>
  <c r="AZ29" i="7"/>
  <c r="AZ28" i="7"/>
  <c r="AZ27" i="7"/>
  <c r="AZ26" i="7"/>
  <c r="AW41" i="7"/>
  <c r="AW40" i="7"/>
  <c r="AW39" i="7"/>
  <c r="AW38" i="7"/>
  <c r="AW36" i="7"/>
  <c r="AW35" i="7"/>
  <c r="AW34" i="7"/>
  <c r="AW33" i="7"/>
  <c r="AW32" i="7"/>
  <c r="AW31" i="7"/>
  <c r="AW30" i="7"/>
  <c r="AW29" i="7"/>
  <c r="AW28" i="7"/>
  <c r="AW27" i="7"/>
  <c r="AW26" i="7"/>
  <c r="AZ25" i="7"/>
  <c r="AW25" i="7"/>
  <c r="CN36" i="7"/>
  <c r="CM36" i="7"/>
  <c r="CL36" i="7"/>
  <c r="CN35" i="7"/>
  <c r="CM35" i="7"/>
  <c r="CL35" i="7"/>
  <c r="CN34" i="7"/>
  <c r="CM34" i="7"/>
  <c r="CL34" i="7"/>
  <c r="CN33" i="7"/>
  <c r="CM33" i="7"/>
  <c r="CL33" i="7"/>
  <c r="CN32" i="7"/>
  <c r="CM32" i="7"/>
  <c r="CL32" i="7"/>
  <c r="CN31" i="7"/>
  <c r="CM31" i="7"/>
  <c r="CL31" i="7"/>
  <c r="CN30" i="7"/>
  <c r="CM30" i="7"/>
  <c r="CL30" i="7"/>
  <c r="CN29" i="7"/>
  <c r="CM29" i="7"/>
  <c r="CL29" i="7"/>
  <c r="CN28" i="7"/>
  <c r="CM28" i="7"/>
  <c r="CL28" i="7"/>
  <c r="CN27" i="7"/>
  <c r="CM27" i="7"/>
  <c r="CL27" i="7"/>
  <c r="CN26" i="7"/>
  <c r="CM26" i="7"/>
  <c r="CL26" i="7"/>
  <c r="CN25" i="7"/>
  <c r="CM25" i="7"/>
  <c r="CL25" i="7"/>
  <c r="P5" i="7"/>
  <c r="I48" i="7"/>
  <c r="N48" i="7" s="1"/>
  <c r="I47" i="7"/>
  <c r="N47" i="7" s="1"/>
  <c r="M40" i="7"/>
  <c r="X128" i="7"/>
  <c r="Z128" i="7"/>
  <c r="Z129" i="7"/>
  <c r="Z130" i="7"/>
  <c r="Z131" i="7"/>
  <c r="Y128" i="7"/>
  <c r="Y131" i="7"/>
  <c r="Y130" i="7"/>
  <c r="Y129" i="7"/>
  <c r="F156" i="7"/>
  <c r="R145" i="7"/>
  <c r="Z145" i="7" s="1"/>
  <c r="BO39" i="7"/>
  <c r="V39" i="7" s="1"/>
  <c r="AV39" i="7" s="1"/>
  <c r="U39" i="7"/>
  <c r="C27" i="12"/>
  <c r="D27" i="12" s="1"/>
  <c r="D28" i="12" s="1"/>
  <c r="BG42" i="7"/>
  <c r="B12" i="7" s="1"/>
  <c r="F10" i="7"/>
  <c r="T13" i="7"/>
  <c r="I46" i="7"/>
  <c r="N46" i="7" s="1"/>
  <c r="CJ26" i="7"/>
  <c r="CJ27" i="7"/>
  <c r="CJ28" i="7"/>
  <c r="CJ29" i="7"/>
  <c r="CJ30" i="7"/>
  <c r="CJ31" i="7"/>
  <c r="CJ32" i="7"/>
  <c r="CJ33" i="7"/>
  <c r="Q33" i="7" s="1"/>
  <c r="CJ34" i="7"/>
  <c r="S34" i="7"/>
  <c r="T34" i="7" s="1"/>
  <c r="CJ35" i="7"/>
  <c r="P35" i="7" s="1"/>
  <c r="Q35" i="7"/>
  <c r="CJ36" i="7"/>
  <c r="CJ25" i="7"/>
  <c r="M112" i="7"/>
  <c r="I112" i="7" s="1"/>
  <c r="M113" i="7"/>
  <c r="I113" i="7" s="1"/>
  <c r="M114" i="7"/>
  <c r="I114" i="7"/>
  <c r="M118" i="7"/>
  <c r="J118" i="7" s="1"/>
  <c r="M119" i="7"/>
  <c r="I119" i="7" s="1"/>
  <c r="M120" i="7"/>
  <c r="I120" i="7" s="1"/>
  <c r="M117" i="7"/>
  <c r="BD26" i="7"/>
  <c r="BE27" i="7"/>
  <c r="AB29" i="7"/>
  <c r="BE30" i="7"/>
  <c r="BD31" i="7"/>
  <c r="BE32" i="7"/>
  <c r="BE33" i="7"/>
  <c r="AB34" i="7"/>
  <c r="BD36" i="7"/>
  <c r="BC25" i="7"/>
  <c r="C65" i="7"/>
  <c r="BF40" i="7"/>
  <c r="X40" i="7" s="1"/>
  <c r="BF41" i="7"/>
  <c r="CN41" i="7" s="1"/>
  <c r="M41" i="7"/>
  <c r="BF39" i="7"/>
  <c r="CC39" i="7"/>
  <c r="CC27" i="7"/>
  <c r="CD25" i="7"/>
  <c r="CC25" i="7"/>
  <c r="AM40" i="7"/>
  <c r="AM41" i="7"/>
  <c r="AF40" i="7"/>
  <c r="AF41" i="7"/>
  <c r="AE40" i="7"/>
  <c r="AE41" i="7"/>
  <c r="AM39" i="7"/>
  <c r="AF39" i="7"/>
  <c r="AE39" i="7"/>
  <c r="BI39" i="7"/>
  <c r="BK39" i="7" s="1"/>
  <c r="AF28" i="7"/>
  <c r="AF29" i="7"/>
  <c r="AF30" i="7"/>
  <c r="AF31" i="7"/>
  <c r="AF32" i="7"/>
  <c r="AF33" i="7"/>
  <c r="AF34" i="7"/>
  <c r="AF35" i="7"/>
  <c r="AF36" i="7"/>
  <c r="AM29" i="7"/>
  <c r="AM30" i="7"/>
  <c r="AM31" i="7"/>
  <c r="AM33" i="7"/>
  <c r="AM34" i="7"/>
  <c r="AM35" i="7"/>
  <c r="AE29" i="7"/>
  <c r="AE30" i="7"/>
  <c r="AE31" i="7"/>
  <c r="AE33" i="7"/>
  <c r="AE34" i="7"/>
  <c r="AE35" i="7"/>
  <c r="CD36" i="7"/>
  <c r="CC36" i="7"/>
  <c r="CD35" i="7"/>
  <c r="CC35" i="7"/>
  <c r="CD34" i="7"/>
  <c r="CC34" i="7"/>
  <c r="CD33" i="7"/>
  <c r="CC33" i="7"/>
  <c r="CD32" i="7"/>
  <c r="CC32" i="7"/>
  <c r="CD31" i="7"/>
  <c r="CC31" i="7"/>
  <c r="CD30" i="7"/>
  <c r="CC30" i="7"/>
  <c r="CD29" i="7"/>
  <c r="CC29" i="7"/>
  <c r="CD28" i="7"/>
  <c r="CC28" i="7"/>
  <c r="CD27" i="7"/>
  <c r="CD26" i="7"/>
  <c r="CC26" i="7"/>
  <c r="O74" i="12"/>
  <c r="O73" i="12"/>
  <c r="O72" i="12"/>
  <c r="X131" i="7"/>
  <c r="X129" i="7"/>
  <c r="X130" i="7"/>
  <c r="M134" i="7"/>
  <c r="I134" i="7" s="1"/>
  <c r="BW40" i="7"/>
  <c r="BX40" i="7"/>
  <c r="BY40" i="7"/>
  <c r="BW41" i="7"/>
  <c r="BX41" i="7"/>
  <c r="BY41" i="7"/>
  <c r="BX39" i="7"/>
  <c r="BY39" i="7"/>
  <c r="BW39" i="7"/>
  <c r="BW28" i="7"/>
  <c r="BX28" i="7"/>
  <c r="BY28" i="7"/>
  <c r="BW29" i="7"/>
  <c r="BX29" i="7"/>
  <c r="BY29" i="7"/>
  <c r="BW30" i="7"/>
  <c r="BX30" i="7"/>
  <c r="BY30" i="7"/>
  <c r="BW31" i="7"/>
  <c r="BX31" i="7"/>
  <c r="BY31" i="7"/>
  <c r="BW32" i="7"/>
  <c r="BX32" i="7"/>
  <c r="BY32" i="7"/>
  <c r="BW33" i="7"/>
  <c r="BX33" i="7"/>
  <c r="BY33" i="7"/>
  <c r="BW34" i="7"/>
  <c r="BX34" i="7"/>
  <c r="BY34" i="7"/>
  <c r="BW35" i="7"/>
  <c r="BX35" i="7"/>
  <c r="BY35" i="7"/>
  <c r="BW36" i="7"/>
  <c r="BX36" i="7"/>
  <c r="BY36" i="7"/>
  <c r="BV40" i="7"/>
  <c r="BV41" i="7"/>
  <c r="BV39" i="7"/>
  <c r="BQ40" i="7"/>
  <c r="BB40" i="7" s="1"/>
  <c r="BR40" i="7"/>
  <c r="BS40" i="7"/>
  <c r="BQ41" i="7"/>
  <c r="BB41" i="7" s="1"/>
  <c r="BR41" i="7"/>
  <c r="BS41" i="7"/>
  <c r="BR39" i="7"/>
  <c r="BS39" i="7"/>
  <c r="BQ39" i="7"/>
  <c r="BB39" i="7" s="1"/>
  <c r="BO40" i="7"/>
  <c r="V40" i="7" s="1"/>
  <c r="AY40" i="7" s="1"/>
  <c r="BP40" i="7"/>
  <c r="BA40" i="7" s="1"/>
  <c r="BO41" i="7"/>
  <c r="U41" i="7" s="1"/>
  <c r="BP41" i="7"/>
  <c r="BA41" i="7" s="1"/>
  <c r="BP39" i="7"/>
  <c r="BA39" i="7" s="1"/>
  <c r="BL40" i="7"/>
  <c r="BM40" i="7"/>
  <c r="CS40" i="7" s="1"/>
  <c r="BN40" i="7"/>
  <c r="CT40" i="7" s="1"/>
  <c r="BL41" i="7"/>
  <c r="BM41" i="7"/>
  <c r="CS41" i="7" s="1"/>
  <c r="BN41" i="7"/>
  <c r="CT41" i="7" s="1"/>
  <c r="BI40" i="7"/>
  <c r="BK40" i="7" s="1"/>
  <c r="BI41" i="7"/>
  <c r="BJ41" i="7" s="1"/>
  <c r="BM39" i="7"/>
  <c r="CS39" i="7" s="1"/>
  <c r="BN39" i="7"/>
  <c r="CT39" i="7" s="1"/>
  <c r="BL39" i="7"/>
  <c r="U8" i="14"/>
  <c r="V8" i="14" s="1"/>
  <c r="A40" i="7" s="1"/>
  <c r="U9" i="14"/>
  <c r="V9" i="14" s="1"/>
  <c r="U7" i="14"/>
  <c r="V7" i="14" s="1"/>
  <c r="BH45" i="7"/>
  <c r="BV36" i="7"/>
  <c r="BV35" i="7"/>
  <c r="BV34" i="7"/>
  <c r="BV33" i="7"/>
  <c r="BV32" i="7"/>
  <c r="BV31" i="7"/>
  <c r="BV30" i="7"/>
  <c r="BV29" i="7"/>
  <c r="BV28" i="7"/>
  <c r="BV27" i="7"/>
  <c r="BV26" i="7"/>
  <c r="AI145" i="7"/>
  <c r="N134" i="7"/>
  <c r="J134" i="7" s="1"/>
  <c r="BV25" i="7"/>
  <c r="BD13" i="7"/>
  <c r="BL34" i="7"/>
  <c r="BL31" i="7"/>
  <c r="BL30" i="7"/>
  <c r="BL33" i="7"/>
  <c r="BL35" i="7"/>
  <c r="BL29" i="7"/>
  <c r="BI31" i="7"/>
  <c r="BK31" i="7" s="1"/>
  <c r="BI35" i="7"/>
  <c r="BK35" i="7" s="1"/>
  <c r="BI29" i="7"/>
  <c r="BJ29" i="7" s="1"/>
  <c r="BI33" i="7"/>
  <c r="BJ33" i="7" s="1"/>
  <c r="BI34" i="7"/>
  <c r="BK34" i="7" s="1"/>
  <c r="BI30" i="7"/>
  <c r="BK30" i="7" s="1"/>
  <c r="BN35" i="7"/>
  <c r="CT35" i="7" s="1"/>
  <c r="BN33" i="7"/>
  <c r="CT33" i="7" s="1"/>
  <c r="BN29" i="7"/>
  <c r="CT29" i="7" s="1"/>
  <c r="BN34" i="7"/>
  <c r="CT34" i="7" s="1"/>
  <c r="BN31" i="7"/>
  <c r="CT31" i="7" s="1"/>
  <c r="BN30" i="7"/>
  <c r="CT30" i="7" s="1"/>
  <c r="BM33" i="7"/>
  <c r="CS33" i="7" s="1"/>
  <c r="BM29" i="7"/>
  <c r="CS29" i="7" s="1"/>
  <c r="BM30" i="7"/>
  <c r="CS30" i="7" s="1"/>
  <c r="BM34" i="7"/>
  <c r="CS34" i="7" s="1"/>
  <c r="BM31" i="7"/>
  <c r="CS31" i="7" s="1"/>
  <c r="BM35" i="7"/>
  <c r="CS35" i="7" s="1"/>
  <c r="BO34" i="7"/>
  <c r="BO35" i="7"/>
  <c r="V35" i="7" s="1"/>
  <c r="AY35" i="7" s="1"/>
  <c r="BO31" i="7"/>
  <c r="U31" i="7" s="1"/>
  <c r="AU31" i="7" s="1"/>
  <c r="BO30" i="7"/>
  <c r="V30" i="7" s="1"/>
  <c r="BO33" i="7"/>
  <c r="V33" i="7" s="1"/>
  <c r="BO29" i="7"/>
  <c r="V29" i="7" s="1"/>
  <c r="AY29" i="7" s="1"/>
  <c r="BQ33" i="7"/>
  <c r="BB33" i="7" s="1"/>
  <c r="BQ29" i="7"/>
  <c r="BB29" i="7" s="1"/>
  <c r="BQ34" i="7"/>
  <c r="BB34" i="7" s="1"/>
  <c r="BQ30" i="7"/>
  <c r="BB30" i="7" s="1"/>
  <c r="BQ35" i="7"/>
  <c r="BB35" i="7" s="1"/>
  <c r="BQ31" i="7"/>
  <c r="BB31" i="7" s="1"/>
  <c r="BR35" i="7"/>
  <c r="BR33" i="7"/>
  <c r="BR29" i="7"/>
  <c r="BR31" i="7"/>
  <c r="BR30" i="7"/>
  <c r="BR34" i="7"/>
  <c r="BS31" i="7"/>
  <c r="BS30" i="7"/>
  <c r="BS35" i="7"/>
  <c r="BS34" i="7"/>
  <c r="BS29" i="7"/>
  <c r="BS33" i="7"/>
  <c r="BP34" i="7"/>
  <c r="BA34" i="7" s="1"/>
  <c r="BP31" i="7"/>
  <c r="BA31" i="7" s="1"/>
  <c r="BP30" i="7"/>
  <c r="BA30" i="7" s="1"/>
  <c r="BP35" i="7"/>
  <c r="BA35" i="7" s="1"/>
  <c r="BP33" i="7"/>
  <c r="BA33" i="7" s="1"/>
  <c r="BP29" i="7"/>
  <c r="BA29" i="7" s="1"/>
  <c r="BT34" i="7"/>
  <c r="BT31" i="7"/>
  <c r="BT30" i="7"/>
  <c r="BT35" i="7"/>
  <c r="BT29" i="7"/>
  <c r="BT33" i="7"/>
  <c r="BU29" i="7"/>
  <c r="BU33" i="7"/>
  <c r="BU30" i="7"/>
  <c r="BU35" i="7"/>
  <c r="BU34" i="7"/>
  <c r="BU31" i="7"/>
  <c r="BI32" i="7"/>
  <c r="BK32" i="7" s="1"/>
  <c r="BI28" i="7"/>
  <c r="BJ28" i="7" s="1"/>
  <c r="BL32" i="7"/>
  <c r="BL28" i="7"/>
  <c r="BM32" i="7"/>
  <c r="CS32" i="7" s="1"/>
  <c r="BM28" i="7"/>
  <c r="CS28" i="7" s="1"/>
  <c r="BN32" i="7"/>
  <c r="CT32" i="7" s="1"/>
  <c r="BN28" i="7"/>
  <c r="CT28" i="7" s="1"/>
  <c r="BO32" i="7"/>
  <c r="U32" i="7" s="1"/>
  <c r="BO28" i="7"/>
  <c r="U28" i="7" s="1"/>
  <c r="AX28" i="7" s="1"/>
  <c r="AE32" i="7"/>
  <c r="AE28" i="7"/>
  <c r="BQ32" i="7"/>
  <c r="BB32" i="7" s="1"/>
  <c r="BQ28" i="7"/>
  <c r="BR32" i="7"/>
  <c r="BR28" i="7"/>
  <c r="BS32" i="7"/>
  <c r="BS28" i="7"/>
  <c r="AM32" i="7"/>
  <c r="AM28" i="7"/>
  <c r="BP32" i="7"/>
  <c r="BA32" i="7" s="1"/>
  <c r="BP28" i="7"/>
  <c r="BA28" i="7" s="1"/>
  <c r="BT32" i="7"/>
  <c r="BT28" i="7"/>
  <c r="BU32" i="7"/>
  <c r="BU28" i="7"/>
  <c r="BI36" i="7"/>
  <c r="BK36" i="7" s="1"/>
  <c r="BL36" i="7"/>
  <c r="BM36" i="7"/>
  <c r="CS36" i="7" s="1"/>
  <c r="BN36" i="7"/>
  <c r="CT36" i="7" s="1"/>
  <c r="BO36" i="7"/>
  <c r="U36" i="7" s="1"/>
  <c r="AX36" i="7" s="1"/>
  <c r="AE36" i="7"/>
  <c r="BQ36" i="7"/>
  <c r="BB36" i="7" s="1"/>
  <c r="BR36" i="7"/>
  <c r="BS36" i="7"/>
  <c r="AM36" i="7"/>
  <c r="BP36" i="7"/>
  <c r="BA36" i="7" s="1"/>
  <c r="BT36" i="7"/>
  <c r="BU36" i="7"/>
  <c r="AB31" i="7"/>
  <c r="J119" i="7"/>
  <c r="R35" i="7"/>
  <c r="M47" i="7"/>
  <c r="BC28" i="7"/>
  <c r="BE34" i="7"/>
  <c r="BC40" i="7"/>
  <c r="R34" i="7"/>
  <c r="Q34" i="7"/>
  <c r="CM40" i="7"/>
  <c r="BE36" i="7"/>
  <c r="BE31" i="7"/>
  <c r="BJ40" i="7"/>
  <c r="CM39" i="7"/>
  <c r="M39" i="7"/>
  <c r="U40" i="7"/>
  <c r="AX40" i="7" s="1"/>
  <c r="AV40" i="7"/>
  <c r="BC39" i="7"/>
  <c r="BE39" i="7"/>
  <c r="CD39" i="7"/>
  <c r="CN39" i="7"/>
  <c r="CL39" i="7"/>
  <c r="BU39" i="7"/>
  <c r="X39" i="7"/>
  <c r="CC41" i="7"/>
  <c r="CD41" i="7"/>
  <c r="X41" i="7"/>
  <c r="AB41" i="7"/>
  <c r="CM41" i="7"/>
  <c r="CC40" i="7"/>
  <c r="BD40" i="7"/>
  <c r="BE40" i="7"/>
  <c r="AB39" i="7"/>
  <c r="BC36" i="7"/>
  <c r="P34" i="7"/>
  <c r="X34" i="7"/>
  <c r="BD32" i="7"/>
  <c r="X31" i="7"/>
  <c r="X29" i="7"/>
  <c r="AB40" i="7"/>
  <c r="BU40" i="7"/>
  <c r="CJ40" i="7"/>
  <c r="P40" i="7" s="1"/>
  <c r="CD40" i="7"/>
  <c r="BT40" i="7"/>
  <c r="CL40" i="7"/>
  <c r="X35" i="7"/>
  <c r="X33" i="7"/>
  <c r="X32" i="7"/>
  <c r="BC32" i="7"/>
  <c r="BE29" i="7"/>
  <c r="BD29" i="7"/>
  <c r="BC29" i="7"/>
  <c r="CN40" i="7"/>
  <c r="BT39" i="7"/>
  <c r="BK41" i="7"/>
  <c r="J120" i="7"/>
  <c r="AB32" i="7"/>
  <c r="P32" i="7"/>
  <c r="BC31" i="7"/>
  <c r="CJ39" i="7"/>
  <c r="R39" i="7" s="1"/>
  <c r="BD39" i="7"/>
  <c r="AB35" i="7"/>
  <c r="BD33" i="7"/>
  <c r="BC33" i="7"/>
  <c r="AB30" i="7"/>
  <c r="BE28" i="7"/>
  <c r="X30" i="7"/>
  <c r="BD28" i="7"/>
  <c r="D91" i="7"/>
  <c r="D92" i="7"/>
  <c r="D90" i="7"/>
  <c r="S29" i="7" l="1"/>
  <c r="AU41" i="7"/>
  <c r="AX41" i="7"/>
  <c r="V41" i="7"/>
  <c r="AY41" i="7" s="1"/>
  <c r="AL41" i="7" s="1"/>
  <c r="AN41" i="7"/>
  <c r="BC41" i="7"/>
  <c r="F155" i="7"/>
  <c r="BD25" i="7"/>
  <c r="BE25" i="7"/>
  <c r="Y132" i="7"/>
  <c r="Z132" i="7"/>
  <c r="I118" i="7"/>
  <c r="BJ39" i="7"/>
  <c r="AN39" i="7" s="1"/>
  <c r="P33" i="7"/>
  <c r="BC26" i="7"/>
  <c r="S35" i="7"/>
  <c r="T35" i="7" s="1"/>
  <c r="R33" i="7"/>
  <c r="BD34" i="7"/>
  <c r="BU41" i="7"/>
  <c r="CR41" i="7" s="1"/>
  <c r="BT41" i="7"/>
  <c r="AA41" i="7" s="1"/>
  <c r="CJ41" i="7"/>
  <c r="BC30" i="7"/>
  <c r="AB33" i="7"/>
  <c r="BC34" i="7"/>
  <c r="BE41" i="7"/>
  <c r="CL41" i="7"/>
  <c r="BD41" i="7"/>
  <c r="AC41" i="7" s="1"/>
  <c r="S33" i="7"/>
  <c r="T33" i="7" s="1"/>
  <c r="BD30" i="7"/>
  <c r="A38" i="7"/>
  <c r="BE26" i="7"/>
  <c r="BC27" i="7"/>
  <c r="BB28" i="7"/>
  <c r="BD27" i="7"/>
  <c r="A39" i="7"/>
  <c r="J34" i="7"/>
  <c r="N34" i="7" s="1"/>
  <c r="CE34" i="7" s="1"/>
  <c r="BJ31" i="7"/>
  <c r="AQ31" i="7" s="1"/>
  <c r="A41" i="7"/>
  <c r="AO29" i="7"/>
  <c r="AU36" i="7"/>
  <c r="CG36" i="7" s="1"/>
  <c r="C28" i="12"/>
  <c r="AP29" i="7"/>
  <c r="C29" i="12"/>
  <c r="AR29" i="7"/>
  <c r="BJ30" i="7"/>
  <c r="AR30" i="7" s="1"/>
  <c r="AN29" i="7"/>
  <c r="BJ36" i="7"/>
  <c r="AR36" i="7" s="1"/>
  <c r="U35" i="7"/>
  <c r="AX35" i="7" s="1"/>
  <c r="V36" i="7"/>
  <c r="AY36" i="7" s="1"/>
  <c r="AA36" i="7" s="1"/>
  <c r="AB36" i="7" s="1"/>
  <c r="U33" i="7"/>
  <c r="AU33" i="7" s="1"/>
  <c r="BK33" i="7"/>
  <c r="U30" i="7"/>
  <c r="I34" i="7"/>
  <c r="AS29" i="7"/>
  <c r="AQ29" i="7"/>
  <c r="BK29" i="7"/>
  <c r="B11" i="7"/>
  <c r="X132" i="7"/>
  <c r="D126" i="7" s="1"/>
  <c r="R40" i="7"/>
  <c r="I40" i="7" s="1"/>
  <c r="AU40" i="7"/>
  <c r="CG40" i="7" s="1"/>
  <c r="AN40" i="7"/>
  <c r="AK40" i="7"/>
  <c r="AO40" i="7"/>
  <c r="AP40" i="7"/>
  <c r="AS40" i="7"/>
  <c r="AY39" i="7"/>
  <c r="AL39" i="7" s="1"/>
  <c r="AP39" i="7"/>
  <c r="S39" i="7"/>
  <c r="T39" i="7" s="1"/>
  <c r="AP41" i="7"/>
  <c r="AQ40" i="7"/>
  <c r="AH40" i="7"/>
  <c r="AD40" i="7"/>
  <c r="AV41" i="7"/>
  <c r="AI40" i="7"/>
  <c r="AJ40" i="7"/>
  <c r="AH39" i="7"/>
  <c r="AG39" i="7"/>
  <c r="AI39" i="7"/>
  <c r="AO39" i="7"/>
  <c r="AC40" i="7"/>
  <c r="CH40" i="7"/>
  <c r="AS41" i="7"/>
  <c r="Q39" i="7"/>
  <c r="AO41" i="7"/>
  <c r="CG41" i="7"/>
  <c r="AL40" i="7"/>
  <c r="AR40" i="7"/>
  <c r="AA40" i="7"/>
  <c r="AR41" i="7"/>
  <c r="P39" i="7"/>
  <c r="I39" i="7" s="1"/>
  <c r="AQ41" i="7"/>
  <c r="AG40" i="7"/>
  <c r="Q5" i="7"/>
  <c r="R5" i="7" s="1"/>
  <c r="BJ32" i="7"/>
  <c r="AO32" i="7" s="1"/>
  <c r="V31" i="7"/>
  <c r="I35" i="7"/>
  <c r="AV33" i="7"/>
  <c r="AI33" i="7" s="1"/>
  <c r="AY33" i="7"/>
  <c r="AK33" i="7" s="1"/>
  <c r="AV30" i="7"/>
  <c r="AY30" i="7"/>
  <c r="Q30" i="7" s="1"/>
  <c r="AV35" i="7"/>
  <c r="CH35" i="7" s="1"/>
  <c r="BK28" i="7"/>
  <c r="BJ34" i="7"/>
  <c r="AS34" i="7" s="1"/>
  <c r="AU28" i="7"/>
  <c r="V28" i="7"/>
  <c r="BJ35" i="7"/>
  <c r="AP35" i="7" s="1"/>
  <c r="AJ29" i="7"/>
  <c r="AN28" i="7"/>
  <c r="AQ28" i="7"/>
  <c r="AP28" i="7"/>
  <c r="AR28" i="7"/>
  <c r="AO28" i="7"/>
  <c r="AS28" i="7"/>
  <c r="AX32" i="7"/>
  <c r="AU32" i="7"/>
  <c r="AX31" i="7"/>
  <c r="CG31" i="7" s="1"/>
  <c r="V32" i="7"/>
  <c r="U29" i="7"/>
  <c r="AN33" i="7"/>
  <c r="AS33" i="7"/>
  <c r="AR33" i="7"/>
  <c r="C26" i="12"/>
  <c r="AP33" i="7"/>
  <c r="Q40" i="7"/>
  <c r="S40" i="7"/>
  <c r="T40" i="7" s="1"/>
  <c r="R32" i="7"/>
  <c r="I32" i="7" s="1"/>
  <c r="Q32" i="7"/>
  <c r="S32" i="7"/>
  <c r="T32" i="7" s="1"/>
  <c r="V34" i="7"/>
  <c r="U34" i="7"/>
  <c r="AU39" i="7"/>
  <c r="AX39" i="7"/>
  <c r="AV29" i="7"/>
  <c r="Q29" i="7" s="1"/>
  <c r="AO33" i="7"/>
  <c r="BD35" i="7"/>
  <c r="BE35" i="7"/>
  <c r="AL35" i="7" s="1"/>
  <c r="BC35" i="7"/>
  <c r="I117" i="7"/>
  <c r="M133" i="7" s="1"/>
  <c r="J117" i="7"/>
  <c r="N133" i="7" s="1"/>
  <c r="AQ33" i="7"/>
  <c r="CR29" i="7"/>
  <c r="CR31" i="7"/>
  <c r="E27" i="12"/>
  <c r="CR36" i="7"/>
  <c r="CR28" i="7"/>
  <c r="CR35" i="7"/>
  <c r="CR34" i="7"/>
  <c r="CR32" i="7"/>
  <c r="CR33" i="7"/>
  <c r="AL29" i="7"/>
  <c r="AK29" i="7"/>
  <c r="D29" i="12"/>
  <c r="CR39" i="7"/>
  <c r="CR30" i="7"/>
  <c r="CR40" i="7"/>
  <c r="AH30" i="7" l="1"/>
  <c r="AV31" i="7"/>
  <c r="AI31" i="7" s="1"/>
  <c r="P31" i="7"/>
  <c r="S31" i="7"/>
  <c r="T31" i="7" s="1"/>
  <c r="Q31" i="7"/>
  <c r="S30" i="7"/>
  <c r="T30" i="7" s="1"/>
  <c r="AX30" i="7"/>
  <c r="AA30" i="7" s="1"/>
  <c r="R30" i="7"/>
  <c r="P30" i="7"/>
  <c r="T29" i="7"/>
  <c r="AX29" i="7"/>
  <c r="AC29" i="7" s="1"/>
  <c r="R29" i="7"/>
  <c r="AQ39" i="7"/>
  <c r="AS39" i="7"/>
  <c r="AR39" i="7"/>
  <c r="AD41" i="7"/>
  <c r="I33" i="7"/>
  <c r="AA132" i="7"/>
  <c r="J33" i="7"/>
  <c r="N33" i="7" s="1"/>
  <c r="CF33" i="7" s="1"/>
  <c r="AK41" i="7"/>
  <c r="AJ41" i="7"/>
  <c r="CO40" i="7"/>
  <c r="J35" i="7"/>
  <c r="N35" i="7" s="1"/>
  <c r="CF35" i="7" s="1"/>
  <c r="Y40" i="7"/>
  <c r="AI41" i="7"/>
  <c r="P41" i="7"/>
  <c r="S41" i="7"/>
  <c r="T41" i="7" s="1"/>
  <c r="R41" i="7"/>
  <c r="Q41" i="7"/>
  <c r="AA39" i="7"/>
  <c r="CH39" i="7"/>
  <c r="W40" i="7"/>
  <c r="Z40" i="7"/>
  <c r="AN31" i="7"/>
  <c r="AR31" i="7"/>
  <c r="AP31" i="7"/>
  <c r="AS31" i="7"/>
  <c r="AO31" i="7"/>
  <c r="CF34" i="7"/>
  <c r="AX33" i="7"/>
  <c r="AD33" i="7" s="1"/>
  <c r="AV36" i="7"/>
  <c r="S36" i="7" s="1"/>
  <c r="T36" i="7" s="1"/>
  <c r="AQ30" i="7"/>
  <c r="AG33" i="7"/>
  <c r="AL33" i="7"/>
  <c r="AS36" i="7"/>
  <c r="AR32" i="7"/>
  <c r="AO30" i="7"/>
  <c r="W33" i="7"/>
  <c r="Z33" i="7"/>
  <c r="AS30" i="7"/>
  <c r="AP30" i="7"/>
  <c r="AN30" i="7"/>
  <c r="AU35" i="7"/>
  <c r="W35" i="7" s="1"/>
  <c r="AN36" i="7"/>
  <c r="AP36" i="7"/>
  <c r="AU30" i="7"/>
  <c r="Y30" i="7" s="1"/>
  <c r="AQ36" i="7"/>
  <c r="AO36" i="7"/>
  <c r="Y33" i="7"/>
  <c r="AH35" i="7"/>
  <c r="AH33" i="7"/>
  <c r="AS32" i="7"/>
  <c r="CH33" i="7"/>
  <c r="AN32" i="7"/>
  <c r="AJ30" i="7"/>
  <c r="AO35" i="7"/>
  <c r="R36" i="7"/>
  <c r="AJ39" i="7"/>
  <c r="AK39" i="7"/>
  <c r="J39" i="7"/>
  <c r="N39" i="7" s="1"/>
  <c r="CE39" i="7" s="1"/>
  <c r="CP40" i="7"/>
  <c r="Z41" i="7"/>
  <c r="CH41" i="7"/>
  <c r="AH41" i="7"/>
  <c r="AG41" i="7"/>
  <c r="CP41" i="7" s="1"/>
  <c r="CO41" i="7"/>
  <c r="W41" i="7"/>
  <c r="AC39" i="7"/>
  <c r="Y41" i="7"/>
  <c r="CP39" i="7"/>
  <c r="AD39" i="7"/>
  <c r="AP34" i="7"/>
  <c r="W31" i="7"/>
  <c r="AP32" i="7"/>
  <c r="AQ32" i="7"/>
  <c r="CH30" i="7"/>
  <c r="AA29" i="7"/>
  <c r="Y31" i="7"/>
  <c r="CG32" i="7"/>
  <c r="AI30" i="7"/>
  <c r="AG30" i="7"/>
  <c r="AG31" i="7"/>
  <c r="AY31" i="7"/>
  <c r="CH31" i="7" s="1"/>
  <c r="AQ35" i="7"/>
  <c r="AN34" i="7"/>
  <c r="AQ34" i="7"/>
  <c r="AO34" i="7"/>
  <c r="AJ33" i="7"/>
  <c r="AK30" i="7"/>
  <c r="AL30" i="7"/>
  <c r="AR35" i="7"/>
  <c r="AS35" i="7"/>
  <c r="CG28" i="7"/>
  <c r="AR34" i="7"/>
  <c r="AN35" i="7"/>
  <c r="AV28" i="7"/>
  <c r="P28" i="7" s="1"/>
  <c r="AY28" i="7"/>
  <c r="AD29" i="7"/>
  <c r="AU29" i="7"/>
  <c r="AV32" i="7"/>
  <c r="Z32" i="7" s="1"/>
  <c r="AY32" i="7"/>
  <c r="AI29" i="7"/>
  <c r="AG29" i="7"/>
  <c r="CP29" i="7" s="1"/>
  <c r="CH29" i="7"/>
  <c r="AH29" i="7"/>
  <c r="AD35" i="7"/>
  <c r="CO39" i="7"/>
  <c r="CG39" i="7"/>
  <c r="Z39" i="7"/>
  <c r="W39" i="7"/>
  <c r="Y39" i="7"/>
  <c r="AV34" i="7"/>
  <c r="AY34" i="7"/>
  <c r="AI35" i="7"/>
  <c r="J133" i="7"/>
  <c r="N132" i="7"/>
  <c r="J132" i="7" s="1"/>
  <c r="N140" i="7" s="1"/>
  <c r="J32" i="7"/>
  <c r="I133" i="7"/>
  <c r="M132" i="7"/>
  <c r="J40" i="7"/>
  <c r="N40" i="7" s="1"/>
  <c r="AL36" i="7"/>
  <c r="AJ36" i="7"/>
  <c r="AD36" i="7"/>
  <c r="AC36" i="7"/>
  <c r="AK36" i="7"/>
  <c r="C33" i="12"/>
  <c r="C31" i="12"/>
  <c r="BI26" i="7" s="1"/>
  <c r="D26" i="12"/>
  <c r="C34" i="12"/>
  <c r="C35" i="12"/>
  <c r="E29" i="12"/>
  <c r="E28" i="12"/>
  <c r="F27" i="12"/>
  <c r="AA35" i="7"/>
  <c r="AJ35" i="7"/>
  <c r="AG35" i="7"/>
  <c r="AX34" i="7"/>
  <c r="AU34" i="7"/>
  <c r="AK35" i="7"/>
  <c r="AC35" i="7"/>
  <c r="L44" i="7"/>
  <c r="I44" i="7" s="1"/>
  <c r="L43" i="7"/>
  <c r="L45" i="7"/>
  <c r="I45" i="7" s="1"/>
  <c r="I132" i="7" l="1"/>
  <c r="M140" i="7" s="1"/>
  <c r="AD30" i="7"/>
  <c r="AH31" i="7"/>
  <c r="Z31" i="7"/>
  <c r="AC30" i="7"/>
  <c r="J31" i="7"/>
  <c r="N31" i="7" s="1"/>
  <c r="CE31" i="7" s="1"/>
  <c r="I30" i="7"/>
  <c r="R31" i="7"/>
  <c r="I31" i="7" s="1"/>
  <c r="J30" i="7"/>
  <c r="N30" i="7" s="1"/>
  <c r="W29" i="7"/>
  <c r="P29" i="7"/>
  <c r="I29" i="7" s="1"/>
  <c r="J29" i="7"/>
  <c r="N29" i="7" s="1"/>
  <c r="N43" i="7"/>
  <c r="I43" i="7"/>
  <c r="BK26" i="7"/>
  <c r="BJ26" i="7"/>
  <c r="CE35" i="7"/>
  <c r="CE33" i="7"/>
  <c r="BI27" i="7"/>
  <c r="BJ27" i="7" s="1"/>
  <c r="BI25" i="7"/>
  <c r="BJ25" i="7" s="1"/>
  <c r="J41" i="7"/>
  <c r="N41" i="7" s="1"/>
  <c r="CE41" i="7" s="1"/>
  <c r="I41" i="7"/>
  <c r="CF41" i="7"/>
  <c r="S28" i="7"/>
  <c r="T28" i="7" s="1"/>
  <c r="Q28" i="7"/>
  <c r="R28" i="7"/>
  <c r="I28" i="7" s="1"/>
  <c r="CO33" i="7"/>
  <c r="CG33" i="7"/>
  <c r="AC33" i="7"/>
  <c r="AA33" i="7"/>
  <c r="CP33" i="7"/>
  <c r="P36" i="7"/>
  <c r="I36" i="7" s="1"/>
  <c r="AI36" i="7"/>
  <c r="AC31" i="7"/>
  <c r="AL31" i="7"/>
  <c r="CH36" i="7"/>
  <c r="Z36" i="7"/>
  <c r="Z30" i="7"/>
  <c r="W36" i="7"/>
  <c r="X36" i="7" s="1"/>
  <c r="CO30" i="7"/>
  <c r="AG36" i="7"/>
  <c r="CP36" i="7" s="1"/>
  <c r="Z35" i="7"/>
  <c r="W30" i="7"/>
  <c r="CO36" i="7"/>
  <c r="Q36" i="7"/>
  <c r="J36" i="7" s="1"/>
  <c r="N36" i="7" s="1"/>
  <c r="AH36" i="7"/>
  <c r="Y36" i="7"/>
  <c r="CG35" i="7"/>
  <c r="Y35" i="7"/>
  <c r="CO35" i="7"/>
  <c r="CG30" i="7"/>
  <c r="AA31" i="7"/>
  <c r="AK31" i="7"/>
  <c r="CP30" i="7"/>
  <c r="CF39" i="7"/>
  <c r="Z29" i="7"/>
  <c r="CO31" i="7"/>
  <c r="AD31" i="7"/>
  <c r="AJ31" i="7"/>
  <c r="CP31" i="7" s="1"/>
  <c r="Y29" i="7"/>
  <c r="AI28" i="7"/>
  <c r="AG28" i="7"/>
  <c r="AH28" i="7"/>
  <c r="CH28" i="7"/>
  <c r="Z28" i="7"/>
  <c r="CG29" i="7"/>
  <c r="CP35" i="7"/>
  <c r="W32" i="7"/>
  <c r="Y28" i="7"/>
  <c r="W28" i="7"/>
  <c r="X28" i="7" s="1"/>
  <c r="AJ28" i="7"/>
  <c r="AK28" i="7"/>
  <c r="AC28" i="7"/>
  <c r="AD28" i="7"/>
  <c r="AL28" i="7"/>
  <c r="AA28" i="7"/>
  <c r="AB28" i="7" s="1"/>
  <c r="CO29" i="7"/>
  <c r="Y32" i="7"/>
  <c r="CO28" i="7"/>
  <c r="AL32" i="7"/>
  <c r="AJ32" i="7"/>
  <c r="AD32" i="7"/>
  <c r="AA32" i="7"/>
  <c r="AK32" i="7"/>
  <c r="AC32" i="7"/>
  <c r="AI32" i="7"/>
  <c r="AH32" i="7"/>
  <c r="CH32" i="7"/>
  <c r="AG32" i="7"/>
  <c r="CO32" i="7"/>
  <c r="I140" i="7"/>
  <c r="I146" i="7" s="1"/>
  <c r="M146" i="7"/>
  <c r="N146" i="7"/>
  <c r="J140" i="7"/>
  <c r="J146" i="7" s="1"/>
  <c r="AL34" i="7"/>
  <c r="AJ34" i="7"/>
  <c r="AK34" i="7"/>
  <c r="D35" i="12"/>
  <c r="E26" i="12"/>
  <c r="D33" i="12"/>
  <c r="D34" i="12"/>
  <c r="D31" i="12"/>
  <c r="BL26" i="7" s="1"/>
  <c r="CF40" i="7"/>
  <c r="CE40" i="7"/>
  <c r="N32" i="7"/>
  <c r="AI34" i="7"/>
  <c r="AG34" i="7"/>
  <c r="CH34" i="7"/>
  <c r="AH34" i="7"/>
  <c r="CG34" i="7"/>
  <c r="Z34" i="7"/>
  <c r="W34" i="7"/>
  <c r="CO34" i="7"/>
  <c r="Y34" i="7"/>
  <c r="F29" i="12"/>
  <c r="G27" i="12"/>
  <c r="F28" i="12"/>
  <c r="AD34" i="7"/>
  <c r="AC34" i="7"/>
  <c r="AA34" i="7"/>
  <c r="M44" i="7"/>
  <c r="N44" i="7"/>
  <c r="N45" i="7"/>
  <c r="M45" i="7"/>
  <c r="CF31" i="7" l="1"/>
  <c r="CF30" i="7"/>
  <c r="CE30" i="7"/>
  <c r="CE29" i="7"/>
  <c r="CF29" i="7"/>
  <c r="BK27" i="7"/>
  <c r="BL27" i="7"/>
  <c r="BL25" i="7"/>
  <c r="J28" i="7"/>
  <c r="N28" i="7" s="1"/>
  <c r="CE28" i="7" s="1"/>
  <c r="CF36" i="7"/>
  <c r="CE36" i="7"/>
  <c r="CP28" i="7"/>
  <c r="CP32" i="7"/>
  <c r="H27" i="12"/>
  <c r="G29" i="12"/>
  <c r="G28" i="12"/>
  <c r="CE32" i="7"/>
  <c r="CF32" i="7"/>
  <c r="E34" i="12"/>
  <c r="E31" i="12"/>
  <c r="BM26" i="7" s="1"/>
  <c r="CS26" i="7" s="1"/>
  <c r="E35" i="12"/>
  <c r="E33" i="12"/>
  <c r="F26" i="12"/>
  <c r="CP34" i="7"/>
  <c r="M43" i="7"/>
  <c r="BM27" i="7" l="1"/>
  <c r="CS27" i="7" s="1"/>
  <c r="BM25" i="7"/>
  <c r="CS25" i="7" s="1"/>
  <c r="CF28" i="7"/>
  <c r="H29" i="12"/>
  <c r="I27" i="12"/>
  <c r="H28" i="12"/>
  <c r="F31" i="12"/>
  <c r="BN26" i="7" s="1"/>
  <c r="CT26" i="7" s="1"/>
  <c r="F33" i="12"/>
  <c r="G26" i="12"/>
  <c r="G31" i="12" s="1"/>
  <c r="F34" i="12"/>
  <c r="F35" i="12"/>
  <c r="BN27" i="7" l="1"/>
  <c r="CT27" i="7" s="1"/>
  <c r="BN25" i="7"/>
  <c r="CT25" i="7" s="1"/>
  <c r="CS42" i="7"/>
  <c r="G33" i="12"/>
  <c r="H26" i="12"/>
  <c r="G35" i="12"/>
  <c r="G34" i="12"/>
  <c r="I29" i="12"/>
  <c r="J27" i="12"/>
  <c r="J29" i="12" s="1"/>
  <c r="I28" i="12"/>
  <c r="CT42" i="7" l="1"/>
  <c r="H33" i="12"/>
  <c r="I26" i="12"/>
  <c r="H35" i="12"/>
  <c r="H34" i="12"/>
  <c r="L27" i="12"/>
  <c r="L29" i="12" s="1"/>
  <c r="J28" i="12"/>
  <c r="K27" i="12"/>
  <c r="H31" i="12"/>
  <c r="M27" i="12" l="1"/>
  <c r="M29" i="12" s="1"/>
  <c r="L28" i="12"/>
  <c r="I35" i="12"/>
  <c r="I34" i="12"/>
  <c r="I33" i="12"/>
  <c r="J26" i="12"/>
  <c r="K28" i="12"/>
  <c r="K29" i="12"/>
  <c r="I31" i="12"/>
  <c r="K26" i="12" l="1"/>
  <c r="J35" i="12"/>
  <c r="J34" i="12"/>
  <c r="J31" i="12"/>
  <c r="BO26" i="7" s="1"/>
  <c r="J33" i="12"/>
  <c r="L26" i="12"/>
  <c r="N27" i="12"/>
  <c r="N29" i="12" s="1"/>
  <c r="M28" i="12"/>
  <c r="V26" i="7" l="1"/>
  <c r="U26" i="7"/>
  <c r="BO27" i="7"/>
  <c r="V27" i="7" s="1"/>
  <c r="BO25" i="7"/>
  <c r="O27" i="12"/>
  <c r="N28" i="12"/>
  <c r="L31" i="12"/>
  <c r="M26" i="12"/>
  <c r="L34" i="12"/>
  <c r="L33" i="12"/>
  <c r="L35" i="12"/>
  <c r="K33" i="12"/>
  <c r="K34" i="12"/>
  <c r="K35" i="12"/>
  <c r="K31" i="12"/>
  <c r="AE26" i="7" s="1"/>
  <c r="O29" i="12" l="1"/>
  <c r="Q27" i="12"/>
  <c r="AU26" i="7"/>
  <c r="AX26" i="7"/>
  <c r="AV26" i="7"/>
  <c r="AY26" i="7"/>
  <c r="U27" i="7"/>
  <c r="AX27" i="7" s="1"/>
  <c r="AE27" i="7"/>
  <c r="AE25" i="7"/>
  <c r="U25" i="7"/>
  <c r="V25" i="7"/>
  <c r="AV27" i="7"/>
  <c r="AY27" i="7"/>
  <c r="N26" i="12"/>
  <c r="M33" i="12"/>
  <c r="M34" i="12"/>
  <c r="M31" i="12"/>
  <c r="BQ26" i="7" s="1"/>
  <c r="BB26" i="7" s="1"/>
  <c r="M35" i="12"/>
  <c r="P27" i="12"/>
  <c r="O28" i="12"/>
  <c r="Q26" i="7" l="1"/>
  <c r="S26" i="7"/>
  <c r="T26" i="7" s="1"/>
  <c r="Q28" i="12"/>
  <c r="Q29" i="12"/>
  <c r="CG26" i="7"/>
  <c r="AU27" i="7"/>
  <c r="CG27" i="7" s="1"/>
  <c r="BQ27" i="7"/>
  <c r="BB27" i="7" s="1"/>
  <c r="S27" i="7" s="1"/>
  <c r="T27" i="7" s="1"/>
  <c r="BQ25" i="7"/>
  <c r="BB25" i="7" s="1"/>
  <c r="AV25" i="7"/>
  <c r="AY25" i="7"/>
  <c r="AU25" i="7"/>
  <c r="AX25" i="7"/>
  <c r="BK25" i="7"/>
  <c r="BK49" i="7" s="1"/>
  <c r="S145" i="7" s="1"/>
  <c r="R27" i="12"/>
  <c r="R29" i="12" s="1"/>
  <c r="P29" i="12"/>
  <c r="P28" i="12"/>
  <c r="N33" i="12"/>
  <c r="O26" i="12"/>
  <c r="Q26" i="12" s="1"/>
  <c r="N31" i="12"/>
  <c r="BR26" i="7" s="1"/>
  <c r="N34" i="12"/>
  <c r="N35" i="12"/>
  <c r="Q27" i="7" l="1"/>
  <c r="J27" i="7" s="1"/>
  <c r="J26" i="7"/>
  <c r="N26" i="7" s="1"/>
  <c r="CF26" i="7" s="1"/>
  <c r="Q31" i="12"/>
  <c r="Q35" i="12"/>
  <c r="Q33" i="12"/>
  <c r="Q34" i="12"/>
  <c r="S25" i="7"/>
  <c r="T25" i="7" s="1"/>
  <c r="T50" i="7" s="1"/>
  <c r="Q25" i="7"/>
  <c r="B148" i="7"/>
  <c r="AH145" i="7"/>
  <c r="M144" i="7"/>
  <c r="BR27" i="7"/>
  <c r="BR25" i="7"/>
  <c r="CG25" i="7"/>
  <c r="CG43" i="7" s="1"/>
  <c r="CG44" i="7" s="1"/>
  <c r="AE55" i="7" s="1"/>
  <c r="N27" i="7"/>
  <c r="O35" i="12"/>
  <c r="O34" i="12"/>
  <c r="P26" i="12"/>
  <c r="O31" i="12"/>
  <c r="BS26" i="7" s="1"/>
  <c r="O33" i="12"/>
  <c r="S27" i="12"/>
  <c r="T27" i="12"/>
  <c r="R28" i="12"/>
  <c r="CE26" i="7" l="1"/>
  <c r="J25" i="7"/>
  <c r="BS27" i="7"/>
  <c r="BS25" i="7"/>
  <c r="CF27" i="7"/>
  <c r="CE27" i="7"/>
  <c r="W27" i="12"/>
  <c r="W29" i="12" s="1"/>
  <c r="S29" i="12"/>
  <c r="S28" i="12"/>
  <c r="R26" i="12"/>
  <c r="X27" i="12"/>
  <c r="X29" i="12" s="1"/>
  <c r="T29" i="12"/>
  <c r="U27" i="12"/>
  <c r="T28" i="12"/>
  <c r="P34" i="12"/>
  <c r="P33" i="12"/>
  <c r="P35" i="12"/>
  <c r="P31" i="12"/>
  <c r="AM26" i="7" s="1"/>
  <c r="N25" i="7" l="1"/>
  <c r="N49" i="7"/>
  <c r="J49" i="7" s="1"/>
  <c r="AM27" i="7"/>
  <c r="AM25" i="7"/>
  <c r="U28" i="12"/>
  <c r="Y27" i="12"/>
  <c r="Y29" i="12" s="1"/>
  <c r="U29" i="12"/>
  <c r="R35" i="12"/>
  <c r="R34" i="12"/>
  <c r="R33" i="12"/>
  <c r="T26" i="12"/>
  <c r="S26" i="12"/>
  <c r="R31" i="12"/>
  <c r="BP26" i="7" s="1"/>
  <c r="BA26" i="7" s="1"/>
  <c r="X28" i="12"/>
  <c r="W28" i="12"/>
  <c r="P26" i="7" l="1"/>
  <c r="R26" i="7"/>
  <c r="AL26" i="7"/>
  <c r="AC26" i="7"/>
  <c r="Z26" i="7"/>
  <c r="AI26" i="7"/>
  <c r="Y26" i="7"/>
  <c r="CH26" i="7"/>
  <c r="AD26" i="7"/>
  <c r="AH26" i="7"/>
  <c r="AK26" i="7"/>
  <c r="AM55" i="7"/>
  <c r="C54" i="7" s="1"/>
  <c r="CF25" i="7"/>
  <c r="CE25" i="7"/>
  <c r="N50" i="7"/>
  <c r="J50" i="7" s="1"/>
  <c r="BP27" i="7"/>
  <c r="BA27" i="7" s="1"/>
  <c r="BP25" i="7"/>
  <c r="BA25" i="7" s="1"/>
  <c r="S35" i="12"/>
  <c r="S33" i="12"/>
  <c r="W26" i="12"/>
  <c r="S34" i="12"/>
  <c r="S31" i="12"/>
  <c r="AF26" i="7" s="1"/>
  <c r="T34" i="12"/>
  <c r="U26" i="12"/>
  <c r="T33" i="12"/>
  <c r="T31" i="12"/>
  <c r="BT26" i="7" s="1"/>
  <c r="X26" i="12"/>
  <c r="T35" i="12"/>
  <c r="Y28" i="12"/>
  <c r="AK27" i="7" l="1"/>
  <c r="R27" i="7"/>
  <c r="P27" i="7"/>
  <c r="I27" i="7" s="1"/>
  <c r="W26" i="7"/>
  <c r="X26" i="7" s="1"/>
  <c r="AA26" i="7"/>
  <c r="AB26" i="7" s="1"/>
  <c r="CO26" i="7"/>
  <c r="I26" i="7"/>
  <c r="AI27" i="7"/>
  <c r="CH27" i="7"/>
  <c r="AL27" i="7"/>
  <c r="Z27" i="7"/>
  <c r="AH27" i="7"/>
  <c r="AD27" i="7"/>
  <c r="Y27" i="7"/>
  <c r="AC27" i="7"/>
  <c r="BT27" i="7"/>
  <c r="AA27" i="7" s="1"/>
  <c r="BT25" i="7"/>
  <c r="AF27" i="7"/>
  <c r="AF25" i="7"/>
  <c r="P25" i="7"/>
  <c r="P50" i="7" s="1"/>
  <c r="AD25" i="7"/>
  <c r="AD49" i="7" s="1"/>
  <c r="Z25" i="7"/>
  <c r="AH25" i="7"/>
  <c r="R25" i="7"/>
  <c r="AL25" i="7"/>
  <c r="AI25" i="7"/>
  <c r="CH25" i="7"/>
  <c r="AC25" i="7"/>
  <c r="Y25" i="7"/>
  <c r="AK25" i="7"/>
  <c r="AK49" i="7" s="1"/>
  <c r="U35" i="12"/>
  <c r="U34" i="12"/>
  <c r="Y26" i="12"/>
  <c r="U33" i="12"/>
  <c r="U31" i="12"/>
  <c r="BU26" i="7" s="1"/>
  <c r="W35" i="12"/>
  <c r="W31" i="12"/>
  <c r="BW26" i="7" s="1"/>
  <c r="W34" i="12"/>
  <c r="W33" i="12"/>
  <c r="X34" i="12"/>
  <c r="X31" i="12"/>
  <c r="BX26" i="7" s="1"/>
  <c r="X33" i="12"/>
  <c r="X35" i="12"/>
  <c r="CR26" i="7" l="1"/>
  <c r="AJ26" i="7"/>
  <c r="AG26" i="7"/>
  <c r="AR26" i="7"/>
  <c r="AP26" i="7"/>
  <c r="AS26" i="7"/>
  <c r="AQ26" i="7"/>
  <c r="AN26" i="7"/>
  <c r="AO26" i="7"/>
  <c r="CH43" i="7"/>
  <c r="CH44" i="7" s="1"/>
  <c r="AF55" i="7" s="1"/>
  <c r="CO27" i="7"/>
  <c r="W27" i="7"/>
  <c r="AH49" i="7"/>
  <c r="AI49" i="7"/>
  <c r="Z49" i="7"/>
  <c r="Y49" i="7"/>
  <c r="AL49" i="7"/>
  <c r="AC49" i="7"/>
  <c r="I25" i="7"/>
  <c r="M49" i="7" s="1"/>
  <c r="R50" i="7"/>
  <c r="BW27" i="7"/>
  <c r="AS27" i="7" s="1"/>
  <c r="BW25" i="7"/>
  <c r="AA25" i="7"/>
  <c r="AB25" i="7" s="1"/>
  <c r="W25" i="7"/>
  <c r="X25" i="7" s="1"/>
  <c r="CO25" i="7"/>
  <c r="BU27" i="7"/>
  <c r="CR27" i="7" s="1"/>
  <c r="BU25" i="7"/>
  <c r="BX27" i="7"/>
  <c r="BX25" i="7"/>
  <c r="AB27" i="7"/>
  <c r="X27" i="7"/>
  <c r="Y33" i="12"/>
  <c r="Y31" i="12"/>
  <c r="BY26" i="7" s="1"/>
  <c r="Y35" i="12"/>
  <c r="Y34" i="12"/>
  <c r="AA49" i="7" l="1"/>
  <c r="AA55" i="7" s="1"/>
  <c r="CP26" i="7"/>
  <c r="CO43" i="7"/>
  <c r="E53" i="7" s="1"/>
  <c r="W49" i="7"/>
  <c r="W55" i="7" s="1"/>
  <c r="AJ27" i="7"/>
  <c r="AR27" i="7"/>
  <c r="AP27" i="7"/>
  <c r="AC55" i="7"/>
  <c r="AB49" i="7"/>
  <c r="AG27" i="7"/>
  <c r="C53" i="7"/>
  <c r="N61" i="7" s="1"/>
  <c r="B79" i="7" s="1"/>
  <c r="P51" i="7"/>
  <c r="AD55" i="7"/>
  <c r="Z55" i="7"/>
  <c r="BY27" i="7"/>
  <c r="BY25" i="7"/>
  <c r="CR25" i="7"/>
  <c r="CR42" i="7" s="1"/>
  <c r="D88" i="7" s="1"/>
  <c r="AG25" i="7"/>
  <c r="AJ25" i="7"/>
  <c r="AQ27" i="7"/>
  <c r="AN27" i="7"/>
  <c r="X49" i="7"/>
  <c r="AO27" i="7"/>
  <c r="AR25" i="7"/>
  <c r="AO25" i="7"/>
  <c r="AN25" i="7"/>
  <c r="AQ25" i="7"/>
  <c r="AS25" i="7"/>
  <c r="AS49" i="7" s="1"/>
  <c r="AL55" i="7" s="1"/>
  <c r="AP25" i="7"/>
  <c r="R51" i="7"/>
  <c r="B61" i="7"/>
  <c r="I50" i="7"/>
  <c r="Y55" i="7"/>
  <c r="A152" i="7" l="1"/>
  <c r="M152" i="7"/>
  <c r="AR49" i="7"/>
  <c r="AK55" i="7" s="1"/>
  <c r="T145" i="7"/>
  <c r="U145" i="7" s="1"/>
  <c r="X145" i="7" s="1"/>
  <c r="AP49" i="7"/>
  <c r="AI55" i="7" s="1"/>
  <c r="G54" i="7" s="1"/>
  <c r="CP27" i="7"/>
  <c r="AG49" i="7"/>
  <c r="F53" i="7"/>
  <c r="P61" i="7" s="1"/>
  <c r="G53" i="7"/>
  <c r="Q61" i="7" s="1"/>
  <c r="AJ145" i="7"/>
  <c r="AK145" i="7" s="1"/>
  <c r="AL145" i="7" s="1"/>
  <c r="AM145" i="7" s="1"/>
  <c r="AN145" i="7" s="1"/>
  <c r="N52" i="7"/>
  <c r="D53" i="7"/>
  <c r="O61" i="7" s="1"/>
  <c r="M78" i="7"/>
  <c r="B78" i="7" s="1"/>
  <c r="P78" i="7"/>
  <c r="AO49" i="7"/>
  <c r="AH55" i="7" s="1"/>
  <c r="AQ49" i="7"/>
  <c r="CP25" i="7"/>
  <c r="AN49" i="7"/>
  <c r="AJ49" i="7"/>
  <c r="F54" i="7" l="1"/>
  <c r="CP43" i="7"/>
  <c r="E54" i="7" s="1"/>
  <c r="AG55" i="7"/>
  <c r="AP145" i="7"/>
  <c r="AQ145" i="7" s="1"/>
  <c r="Q78" i="7"/>
  <c r="J78" i="7"/>
  <c r="AJ55" i="7"/>
  <c r="D54" i="7" s="1"/>
  <c r="N86" i="7" l="1"/>
  <c r="N85" i="7"/>
  <c r="J85" i="7" s="1"/>
  <c r="N78" i="7"/>
  <c r="CE78" i="7"/>
  <c r="CE87" i="7" s="1"/>
  <c r="CF78" i="7"/>
  <c r="CF87" i="7" s="1"/>
  <c r="S78" i="7"/>
  <c r="N144" i="7"/>
  <c r="N143" i="7" s="1"/>
  <c r="J144" i="7" s="1"/>
  <c r="T78" i="7"/>
  <c r="F78" i="7"/>
  <c r="M85" i="7" s="1"/>
  <c r="N145" i="7" l="1"/>
  <c r="J145" i="7" s="1"/>
  <c r="J147" i="7" s="1"/>
  <c r="T85" i="7"/>
  <c r="M139" i="7" s="1"/>
  <c r="S85" i="7"/>
  <c r="I86" i="7"/>
  <c r="CE88" i="7"/>
  <c r="N138" i="7" s="1"/>
  <c r="N137" i="7" s="1"/>
  <c r="J138" i="7" s="1"/>
  <c r="J86" i="7"/>
  <c r="CF88" i="7"/>
  <c r="M145" i="7" l="1"/>
  <c r="I145" i="7" s="1"/>
  <c r="I147" i="7" s="1"/>
  <c r="I141" i="7"/>
  <c r="I139" i="7"/>
  <c r="M137" i="7"/>
  <c r="I138" i="7" s="1"/>
  <c r="M143" i="7"/>
  <c r="I144" i="7" s="1"/>
  <c r="N139" i="7"/>
  <c r="J139" i="7" l="1"/>
  <c r="J14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Sperger, Christian (LfL)</author>
    <author>msbo</author>
    <author>Offenberger, Konrad (LfL)</author>
    <author>Hierlmeier, Michael (LfL)</author>
  </authors>
  <commentList>
    <comment ref="A5" authorId="0" shapeId="0" xr:uid="{00000000-0006-0000-0000-000001000000}">
      <text>
        <r>
          <rPr>
            <sz val="9"/>
            <color indexed="81"/>
            <rFont val="Tahoma"/>
            <family val="2"/>
          </rPr>
          <t>Pflichtfeld:
Betriebsnummer ist</t>
        </r>
        <r>
          <rPr>
            <b/>
            <sz val="9"/>
            <color indexed="81"/>
            <rFont val="Tahoma"/>
            <family val="2"/>
          </rPr>
          <t xml:space="preserve"> immer</t>
        </r>
        <r>
          <rPr>
            <sz val="9"/>
            <color indexed="81"/>
            <rFont val="Tahoma"/>
            <family val="2"/>
          </rPr>
          <t xml:space="preserve"> 12stellig anzugeben
Bsp.: 091781001010</t>
        </r>
      </text>
    </comment>
    <comment ref="F5" authorId="1" shapeId="0" xr:uid="{00000000-0006-0000-0000-000002000000}">
      <text>
        <r>
          <rPr>
            <sz val="10"/>
            <color indexed="81"/>
            <rFont val="Tahoma"/>
            <family val="2"/>
          </rPr>
          <t xml:space="preserve">Landwirtschaftlich genutzte Fläche.
</t>
        </r>
        <r>
          <rPr>
            <sz val="8"/>
            <color indexed="81"/>
            <rFont val="Tahoma"/>
            <family val="2"/>
          </rPr>
          <t>(Bei gewerblichen Tierhaltern ohne Fläche muss bei  ha LF 0,1 und bei ha gesamt Grünlandfläche 0,1 eingetragen werden.)</t>
        </r>
      </text>
    </comment>
    <comment ref="G7" authorId="1" shapeId="0" xr:uid="{00000000-0006-0000-0000-000003000000}">
      <text>
        <r>
          <rPr>
            <sz val="10"/>
            <color indexed="81"/>
            <rFont val="Tahoma"/>
            <family val="2"/>
          </rPr>
          <t>Hier sind nur Flächen anzugeben, die nicht gedüngt und auch nicht genutzt werden</t>
        </r>
      </text>
    </comment>
    <comment ref="F8" authorId="2" shapeId="0" xr:uid="{00000000-0006-0000-0000-000004000000}">
      <text>
        <r>
          <rPr>
            <sz val="8"/>
            <color indexed="81"/>
            <rFont val="Tahoma"/>
            <family val="2"/>
          </rPr>
          <t>(Bei gewerblichen Tierhaltern ohne Fläche muss bei  ha LF 0,1 und bei ha gesamt Grünlandfläche 0,1 eingetragen werden.)</t>
        </r>
      </text>
    </comment>
    <comment ref="G9" authorId="1" shapeId="0" xr:uid="{00000000-0006-0000-0000-000005000000}">
      <text>
        <r>
          <rPr>
            <sz val="10"/>
            <color indexed="81"/>
            <rFont val="Tahoma"/>
            <family val="2"/>
          </rPr>
          <t>Hier sind nur Flächen anzugeben, die nicht gedüngt und auch nicht genutzt werden</t>
        </r>
      </text>
    </comment>
    <comment ref="N11" authorId="2" shapeId="0" xr:uid="{00000000-0006-0000-0000-000006000000}">
      <text>
        <r>
          <rPr>
            <sz val="9"/>
            <color indexed="81"/>
            <rFont val="Tahoma"/>
            <family val="2"/>
          </rPr>
          <t xml:space="preserve">Nur relevant für Betriebe, die ab 2020 mehr als 6 Monate Lagerraum für flüssige Wirtschaftsdünger belegen müssen (Biogasbetriebe, Betriebe über 3 GV/ha).
Sie können durch "zusätzliche Ausbringflächen" den notwendigen Lagerraum verringern. Als zusätzliche Ausbringfläche werden Flächen von anderen Betrieben anerkannt, auf denen vertraglich die Ausbringung der flüssigen Wirtschaftsdünger bis zu einer Menge von 170 kg N/ha geregelt ist.
Flächen, auf denen nur weniger flüssiger org. Dünger ausgebracht werden kann/darf, dürfen nur anteilig berücksichtigt werden. 
</t>
        </r>
      </text>
    </comment>
    <comment ref="B13" authorId="1" shapeId="0" xr:uid="{00000000-0006-0000-0000-000007000000}">
      <text>
        <r>
          <rPr>
            <sz val="10"/>
            <color indexed="81"/>
            <rFont val="Tahoma"/>
            <family val="2"/>
          </rPr>
          <t>Milchleistung = Abgelieferte Milchmenge / Anzahl Kühe</t>
        </r>
      </text>
    </comment>
    <comment ref="N13" authorId="2" shapeId="0" xr:uid="{00000000-0006-0000-0000-000008000000}">
      <text>
        <r>
          <rPr>
            <sz val="9"/>
            <color indexed="81"/>
            <rFont val="Tahoma"/>
            <family val="2"/>
          </rPr>
          <t>Betriebe die Erleichterungen ab 2020 nach Ausführungsverordnung Düngeverordnung (AVDüV) nutzen dürfen. ("grüner Betrieb")</t>
        </r>
      </text>
    </comment>
    <comment ref="A20" authorId="2" shapeId="0" xr:uid="{00000000-0006-0000-0000-00000A000000}">
      <text>
        <r>
          <rPr>
            <sz val="9"/>
            <color indexed="81"/>
            <rFont val="Tahoma"/>
            <family val="2"/>
          </rPr>
          <t xml:space="preserve">Bei Damwild und Rotwild muss bei Weide 100 % angegeben werden. </t>
        </r>
      </text>
    </comment>
    <comment ref="D20" authorId="2" shapeId="0" xr:uid="{00000000-0006-0000-0000-00000B000000}">
      <text>
        <r>
          <rPr>
            <sz val="9"/>
            <color indexed="81"/>
            <rFont val="Tahoma"/>
            <family val="2"/>
          </rPr>
          <t>Ø Jahresbestand = Anzahl Tiere * Haltungsdauer in Tagen / 365 Tage</t>
        </r>
      </text>
    </comment>
    <comment ref="D21" authorId="2" shapeId="0" xr:uid="{00000000-0006-0000-0000-00000C000000}">
      <text>
        <r>
          <rPr>
            <sz val="9"/>
            <color indexed="81"/>
            <rFont val="Tahoma"/>
            <family val="2"/>
          </rPr>
          <t>Angabe nur für Rinder und Schweine sinnvoll, da nur bei diesen Tierarten Gülle anfällt. 
Bei Geflügelbetrieben mit Trockenkot ist die Anzahl der Tiere bei Gülle anzugeben. Der Anfall wird bei Stallmist angezeigt.
Bei allen anderen Tierarten ist nur "Stallmist" möglich.</t>
        </r>
      </text>
    </comment>
    <comment ref="F22" authorId="2" shapeId="0" xr:uid="{00000000-0006-0000-0000-00000D000000}">
      <text>
        <r>
          <rPr>
            <sz val="9"/>
            <color indexed="81"/>
            <rFont val="Tahoma"/>
            <family val="2"/>
          </rPr>
          <t>Bei Anbindehaltung kann mit einer geringen und bei Tiefstall mit hoher Einstreumenge gerechnet werden. Die Einstreumenge muss bei einer Kontrolle nicht belegt werden.
Einstreumenge gering = 3-4 kg, mittel = 6-8 kg, 
hoch &gt;11 kg/GV und Tag</t>
        </r>
      </text>
    </comment>
    <comment ref="G22" authorId="2" shapeId="0" xr:uid="{00000000-0006-0000-0000-00000E000000}">
      <text>
        <r>
          <rPr>
            <sz val="9"/>
            <color indexed="81"/>
            <rFont val="Tahoma"/>
            <family val="2"/>
          </rPr>
          <t>Weide zwischen 01.04. und 30.09. in %.
Beispiel: 30 % bedeutet, dass in 30 % der Stunden die Tiere auf der Weide stehen und 70 % im Stall.</t>
        </r>
        <r>
          <rPr>
            <sz val="9"/>
            <color indexed="81"/>
            <rFont val="Tahoma"/>
            <family val="2"/>
          </rPr>
          <t xml:space="preserve">
</t>
        </r>
      </text>
    </comment>
    <comment ref="H22" authorId="2" shapeId="0" xr:uid="{00000000-0006-0000-0000-00000F000000}">
      <text>
        <r>
          <rPr>
            <sz val="9"/>
            <color indexed="81"/>
            <rFont val="Tahoma"/>
            <family val="2"/>
          </rPr>
          <t>Weide zwischen 01.10. und 31.03. in %.
Beispiel: 30 % bedeutet, dass in 30 % der Stunden die Tiere auf der Weide stehen und 70 % im Stall.</t>
        </r>
        <r>
          <rPr>
            <sz val="9"/>
            <color indexed="81"/>
            <rFont val="Tahoma"/>
            <family val="2"/>
          </rPr>
          <t xml:space="preserve">
(Es ist das Kalenderjahr zu berücksichtigen 01.01. - 31.03. und 01.10. - 31.12.)</t>
        </r>
      </text>
    </comment>
    <comment ref="A38" authorId="3" shapeId="0" xr:uid="{00000000-0006-0000-0000-000010000000}">
      <text>
        <r>
          <rPr>
            <sz val="9"/>
            <color indexed="81"/>
            <rFont val="Tahoma"/>
            <family val="2"/>
          </rPr>
          <t xml:space="preserve">Eigene Zahlen </t>
        </r>
        <r>
          <rPr>
            <b/>
            <sz val="9"/>
            <color indexed="81"/>
            <rFont val="Tahoma"/>
            <family val="2"/>
          </rPr>
          <t>müssen</t>
        </r>
        <r>
          <rPr>
            <sz val="9"/>
            <color indexed="81"/>
            <rFont val="Tahoma"/>
            <family val="2"/>
          </rPr>
          <t xml:space="preserve"> bei einer Kontrolle  belegt werden.
Es dürfen nur Zahlen verwendet werden, die die zuständige Stelle genehmigt hat.</t>
        </r>
      </text>
    </comment>
    <comment ref="A43" authorId="2" shapeId="0" xr:uid="{00000000-0006-0000-0000-000011000000}">
      <text>
        <r>
          <rPr>
            <sz val="9"/>
            <color indexed="81"/>
            <rFont val="Tahoma"/>
            <family val="2"/>
          </rPr>
          <t>Bei offenen Gülle- und Jauchebehältern (nicht abgedeckte Läger) werden höhere Verdunstungsraten (30 %) angesetzt als bei abgedeckten Behältern. Deshalb müssen diese Flächen separat erfasst werden.</t>
        </r>
      </text>
    </comment>
    <comment ref="A44" authorId="2" shapeId="0" xr:uid="{00000000-0006-0000-0000-000012000000}">
      <text>
        <r>
          <rPr>
            <sz val="9"/>
            <color indexed="81"/>
            <rFont val="Tahoma"/>
            <family val="2"/>
          </rPr>
          <t xml:space="preserve">Verunreinigtes Niederschlagswasser von nicht nass gereinigten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 </t>
        </r>
      </text>
    </comment>
    <comment ref="A45" authorId="2" shapeId="0" xr:uid="{00000000-0006-0000-0000-000013000000}">
      <text>
        <r>
          <rPr>
            <sz val="9"/>
            <color indexed="81"/>
            <rFont val="Tahoma"/>
            <family val="2"/>
          </rPr>
          <t xml:space="preserve">Als sauberes Wasser sind folgende Einleitungen zu berücksichtigen:
- nass gereinigte Siloflächen
- mit Plane abgedeckte Siloflächen
- abgedeckte Gülle- und Jaucheläger
- alle Stallmistläger 
Bei der Mengenberechnung wird eine  Verdunstungsrate von 15 % berücksichtigt. </t>
        </r>
      </text>
    </comment>
    <comment ref="A52" authorId="2" shapeId="0" xr:uid="{00000000-0006-0000-0000-000014000000}">
      <text>
        <r>
          <rPr>
            <sz val="9"/>
            <color indexed="81"/>
            <rFont val="Tahoma"/>
            <family val="2"/>
          </rPr>
          <t xml:space="preserve">Diese Werte dürfen verwendet werden:
- für die Düngebedarfsermittlung, soweit keine Wirtschaftsdüngeruntersuchung 
  vorgeschrieben ist (Regelungen rote Flächen beachten)
- für die Deklaration bei Zu- und Abgängen von Gülle, Jauche und Mist
  (auch für die Aufzeichnungen nach Verbringungsverordnung)
</t>
        </r>
      </text>
    </comment>
    <comment ref="D79" authorId="2" shapeId="0" xr:uid="{00000000-0006-0000-0000-000015000000}">
      <text>
        <r>
          <rPr>
            <sz val="9"/>
            <color indexed="81"/>
            <rFont val="Tahoma"/>
            <family val="2"/>
          </rPr>
          <t xml:space="preserve">TS in % aus der Untersuchung eintragen
</t>
        </r>
      </text>
    </comment>
    <comment ref="H79" authorId="2" shapeId="0" xr:uid="{00000000-0006-0000-0000-000016000000}">
      <text>
        <r>
          <rPr>
            <sz val="9"/>
            <color indexed="81"/>
            <rFont val="Tahoma"/>
            <family val="2"/>
          </rPr>
          <t xml:space="preserve">TS in % aus der Untersuchung eintragen
</t>
        </r>
      </text>
    </comment>
    <comment ref="A107" authorId="2" shapeId="0" xr:uid="{61217FC0-7590-4DE9-B583-61701AE3A4E1}">
      <text>
        <r>
          <rPr>
            <b/>
            <sz val="9"/>
            <color indexed="81"/>
            <rFont val="Segoe UI"/>
            <family val="2"/>
          </rPr>
          <t>Für den Betrieb dazugepachtete Lagerkapazität gilt nicht als vorhandener Lagerraum und darf hier nicht angegeben werden!</t>
        </r>
      </text>
    </comment>
    <comment ref="A121" authorId="2" shapeId="0" xr:uid="{00000000-0006-0000-0000-000017000000}">
      <text>
        <r>
          <rPr>
            <sz val="9"/>
            <color indexed="81"/>
            <rFont val="Tahoma"/>
            <family val="2"/>
          </rPr>
          <t>Güllekeller und Güllekanäle können auf das Fassungsvermögen angerechnet werden, wenn die Anforderungen nach Anlagenverordnung erfüllt  sind.</t>
        </r>
      </text>
    </comment>
    <comment ref="A127" authorId="3" shapeId="0" xr:uid="{00000000-0006-0000-0000-000018000000}">
      <text>
        <r>
          <rPr>
            <sz val="9"/>
            <color indexed="81"/>
            <rFont val="Tahoma"/>
            <family val="2"/>
          </rPr>
          <t xml:space="preserve">Bei einer </t>
        </r>
        <r>
          <rPr>
            <b/>
            <sz val="9"/>
            <color indexed="81"/>
            <rFont val="Tahoma"/>
            <family val="2"/>
          </rPr>
          <t>Verpachtung</t>
        </r>
        <r>
          <rPr>
            <sz val="9"/>
            <color indexed="81"/>
            <rFont val="Tahoma"/>
            <family val="2"/>
          </rPr>
          <t xml:space="preserve"> von Lagerkapazität, muss die Zahl mit </t>
        </r>
        <r>
          <rPr>
            <b/>
            <sz val="9"/>
            <color indexed="81"/>
            <rFont val="Tahoma"/>
            <family val="2"/>
          </rPr>
          <t>Minus</t>
        </r>
        <r>
          <rPr>
            <sz val="9"/>
            <color indexed="81"/>
            <rFont val="Tahoma"/>
            <family val="2"/>
          </rPr>
          <t xml:space="preserve"> eingegeben werden.
</t>
        </r>
      </text>
    </comment>
    <comment ref="B127" authorId="2" shapeId="0" xr:uid="{82C6993A-71C1-4992-8933-D870C500A916}">
      <text>
        <r>
          <rPr>
            <b/>
            <sz val="9"/>
            <color indexed="81"/>
            <rFont val="Segoe UI"/>
            <family val="2"/>
          </rPr>
          <t>Angabe der Adresse des Betriebes an den verpachtet wird und Angabe ob bestehender oder geplanter Lagerraum verpachtet werden soll.</t>
        </r>
        <r>
          <rPr>
            <sz val="9"/>
            <color indexed="81"/>
            <rFont val="Segoe UI"/>
            <family val="2"/>
          </rPr>
          <t xml:space="preserve">
</t>
        </r>
      </text>
    </comment>
    <comment ref="C137" authorId="2" shapeId="0" xr:uid="{00000000-0006-0000-0000-000019000000}">
      <text>
        <r>
          <rPr>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M152" authorId="3" shapeId="0" xr:uid="{00000000-0006-0000-0000-00001A000000}">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Hierlmeier, Michael (LfL)</author>
    <author>Offenberger, Konrad (LfL)</author>
  </authors>
  <commentList>
    <comment ref="A1" authorId="0" shapeId="0" xr:uid="{00000000-0006-0000-0200-000001000000}">
      <text>
        <r>
          <rPr>
            <sz val="9"/>
            <color indexed="81"/>
            <rFont val="Tahoma"/>
            <family val="2"/>
          </rPr>
          <t>Abweichende Werte müssen bei einer Kontrolle  belegt werden.
Es dürfen nur Zahlen verwendet werden, die die landeszuständige Stelle genehmigt hat.</t>
        </r>
      </text>
    </comment>
    <comment ref="G5" authorId="1" shapeId="0" xr:uid="{00000000-0006-0000-0200-000002000000}">
      <text>
        <r>
          <rPr>
            <sz val="9"/>
            <color indexed="81"/>
            <rFont val="Tahoma"/>
            <family val="2"/>
          </rPr>
          <t>Bei Geflügel ist der Anfall bei Mist anzugeben.</t>
        </r>
      </text>
    </comment>
    <comment ref="H5" authorId="1" shapeId="0" xr:uid="{00000000-0006-0000-0200-000003000000}">
      <text>
        <r>
          <rPr>
            <sz val="9"/>
            <color indexed="81"/>
            <rFont val="Tahoma"/>
            <family val="2"/>
          </rPr>
          <t xml:space="preserve">Jaucheanfall bei geringer Einstreumenge. Angaben zum Jaucheanfall dürfen nur bei Rindern und Schweinen erfolgen.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<sst xmlns="http://schemas.openxmlformats.org/spreadsheetml/2006/main" count="530" uniqueCount="333">
  <si>
    <t>Gülle</t>
  </si>
  <si>
    <t>m³</t>
  </si>
  <si>
    <t>%</t>
  </si>
  <si>
    <t>Nährstoffausscheidung</t>
  </si>
  <si>
    <t>N</t>
  </si>
  <si>
    <t>K2O</t>
  </si>
  <si>
    <t xml:space="preserve">Kälber (Zucht/Mast) bis 6 Monate </t>
  </si>
  <si>
    <t xml:space="preserve">Männliche Rinder über 2 Jahre, Zuchtbullen </t>
  </si>
  <si>
    <t>Weibliche Rinder über 1 Jahr bis 2 Jahre</t>
  </si>
  <si>
    <t>Andere weibliche Rinder über 2 Jahre</t>
  </si>
  <si>
    <t>Jauche</t>
  </si>
  <si>
    <t>nach</t>
  </si>
  <si>
    <t>Mist</t>
  </si>
  <si>
    <t>Anzahl</t>
  </si>
  <si>
    <t>Betriebsnummer:</t>
  </si>
  <si>
    <t>Vorname/Name:</t>
  </si>
  <si>
    <t>Straße:</t>
  </si>
  <si>
    <t>PLZ/Ort:</t>
  </si>
  <si>
    <t>Telefon:</t>
  </si>
  <si>
    <t>Kalenderjahr:</t>
  </si>
  <si>
    <t>Milchleistung:</t>
  </si>
  <si>
    <t>kg/Kuh und Jahr</t>
  </si>
  <si>
    <t>Milchkuh ohne Kalb</t>
  </si>
  <si>
    <t xml:space="preserve"> --</t>
  </si>
  <si>
    <t>ha gesamte Ackerfläche</t>
  </si>
  <si>
    <t>ha gesamte Grünlandfläche</t>
  </si>
  <si>
    <t>davon Stillleg. Acker</t>
  </si>
  <si>
    <t>davon Stillleg. GL</t>
  </si>
  <si>
    <t>Niederschlag:</t>
  </si>
  <si>
    <t>m²</t>
  </si>
  <si>
    <t>% Grünlandanteil</t>
  </si>
  <si>
    <t>m</t>
  </si>
  <si>
    <t>Durchmesser</t>
  </si>
  <si>
    <r>
      <t>Behälter</t>
    </r>
    <r>
      <rPr>
        <sz val="10"/>
        <rFont val="Arial"/>
        <family val="2"/>
      </rPr>
      <t xml:space="preserve"> 1</t>
    </r>
  </si>
  <si>
    <r>
      <t>Behälter</t>
    </r>
    <r>
      <rPr>
        <sz val="10"/>
        <rFont val="Arial"/>
        <family val="2"/>
      </rPr>
      <t xml:space="preserve"> 2</t>
    </r>
    <r>
      <rPr>
        <sz val="10"/>
        <rFont val="Arial"/>
        <family val="2"/>
      </rPr>
      <t/>
    </r>
  </si>
  <si>
    <r>
      <t>Behälter</t>
    </r>
    <r>
      <rPr>
        <sz val="10"/>
        <rFont val="Arial"/>
        <family val="2"/>
      </rPr>
      <t xml:space="preserve"> 3</t>
    </r>
    <r>
      <rPr>
        <sz val="10"/>
        <rFont val="Arial"/>
        <family val="2"/>
      </rPr>
      <t/>
    </r>
  </si>
  <si>
    <t>Länge</t>
  </si>
  <si>
    <t>Behälter 4</t>
  </si>
  <si>
    <t>Tierhaltung</t>
  </si>
  <si>
    <t>Breite</t>
  </si>
  <si>
    <t>menge</t>
  </si>
  <si>
    <t>Weide</t>
  </si>
  <si>
    <t>in %</t>
  </si>
  <si>
    <t>gering</t>
  </si>
  <si>
    <t>mittel</t>
  </si>
  <si>
    <t>hoch</t>
  </si>
  <si>
    <t>t</t>
  </si>
  <si>
    <t>Stall-</t>
  </si>
  <si>
    <t>mist</t>
  </si>
  <si>
    <t>Gülle,</t>
  </si>
  <si>
    <t>Anfall Betrieb</t>
  </si>
  <si>
    <t>Okt-Mär</t>
  </si>
  <si>
    <t>Apr-Sep</t>
  </si>
  <si>
    <r>
      <t>Stallmist</t>
    </r>
    <r>
      <rPr>
        <sz val="8"/>
        <rFont val="Arial"/>
        <family val="2"/>
      </rPr>
      <t>/Jauche</t>
    </r>
  </si>
  <si>
    <t>Einstreu-</t>
  </si>
  <si>
    <t>Programmname</t>
  </si>
  <si>
    <t>Rinder</t>
  </si>
  <si>
    <t>Männl. Rinder über 6 Monate bis 1 Jahr</t>
  </si>
  <si>
    <t>Männl. Rinder über 1 Jahr bis zwei Jahre (Mast)</t>
  </si>
  <si>
    <t>Mutterkuh mit Kalb bis 6 Monate</t>
  </si>
  <si>
    <t>Zuchtsauen mit 25 Ferkel bis 8 kg, Standard</t>
  </si>
  <si>
    <t>Zuchtsauen mit 25 Ferkel bis 8 kg, N-/P-reduziert</t>
  </si>
  <si>
    <t>Zuchtsauen mit 28 Ferkel bis 8 kg, Standard</t>
  </si>
  <si>
    <t>Zuchtsauen mit 28 Ferkel bis 8 kg, N-/P-reduziert</t>
  </si>
  <si>
    <t>Zuchtsauen mit 25 Ferkel bis 28 kg, Standard</t>
  </si>
  <si>
    <t>Zuchtsauen mit 25 Ferkel bis 28 kg, N-/P-reduziert</t>
  </si>
  <si>
    <t>Zuchtsauen mit 28 Ferkel bis 28 kg, Standard</t>
  </si>
  <si>
    <t>Zuchtsauen mit 28 Ferkel bis 28 kg, N-/P-reduziert</t>
  </si>
  <si>
    <t>Ferkel von 8 bis 28 kg, Standard</t>
  </si>
  <si>
    <t>Ferkel von 8 bis 28 kg, N-/P-reduziert</t>
  </si>
  <si>
    <t>Mastschweine (850 g TZ), Standard</t>
  </si>
  <si>
    <t>Mastschweine (850 g TZ), N-/P-reduziert</t>
  </si>
  <si>
    <t>Zuchteber</t>
  </si>
  <si>
    <t>Legehennen über 16 Wochen, Standard</t>
  </si>
  <si>
    <t>Legehennen über 16 Wochen, N-/P-reduziert</t>
  </si>
  <si>
    <t>Junghennen bis 16 Wochen, Standard</t>
  </si>
  <si>
    <t>Junghennen bis 16 Wochen, N-/P-reduziert</t>
  </si>
  <si>
    <t>Masthähnchen, Standard</t>
  </si>
  <si>
    <t>Masthähnchen, N-/P-reduziert</t>
  </si>
  <si>
    <t>Putenhähne bis 21 Wochen Mast, Standard</t>
  </si>
  <si>
    <t>Putenhähne bis 21 Wochen Mast, N-/P-reduziert</t>
  </si>
  <si>
    <t>Putenhennen bis 16 Wochen Mast, Standard</t>
  </si>
  <si>
    <t>Putenhennen bis 16 Wochen Mast, N-/P-reduziert</t>
  </si>
  <si>
    <t>Gänse Spätmast/Weidemast</t>
  </si>
  <si>
    <t>Pekingenten</t>
  </si>
  <si>
    <t>Flugenten</t>
  </si>
  <si>
    <t>Milchziegen mit Lämmer, andere Ziegen</t>
  </si>
  <si>
    <t>Pferde bis ein Jahr, Ponys und Kleinpferde</t>
  </si>
  <si>
    <t>Pferde über ein Jahr</t>
  </si>
  <si>
    <t>Kaninchenaufz. bis 3 kg (Häsin + 52 Jungtiere je Jahr)</t>
  </si>
  <si>
    <t>Damwild Alttier</t>
  </si>
  <si>
    <t>Rotwild Alttier</t>
  </si>
  <si>
    <t>Schweine</t>
  </si>
  <si>
    <t>Geflügel</t>
  </si>
  <si>
    <t xml:space="preserve">andere Tiere </t>
  </si>
  <si>
    <t>Stallmist</t>
  </si>
  <si>
    <t>GV</t>
  </si>
  <si>
    <t>Milchleistung</t>
  </si>
  <si>
    <t xml:space="preserve"> </t>
  </si>
  <si>
    <t>TM</t>
  </si>
  <si>
    <t>Rind</t>
  </si>
  <si>
    <t>Im Programm hinterlegte Daten aus Tabelle 4a+b+c</t>
  </si>
  <si>
    <t>Großvieh-</t>
  </si>
  <si>
    <r>
      <t>Gülleanfall in m</t>
    </r>
    <r>
      <rPr>
        <b/>
        <vertAlign val="superscript"/>
        <sz val="10"/>
        <rFont val="Arial"/>
        <family val="2"/>
      </rPr>
      <t>3</t>
    </r>
  </si>
  <si>
    <t xml:space="preserve">Einstreu </t>
  </si>
  <si>
    <r>
      <t xml:space="preserve">Festmist (nach DüV) </t>
    </r>
    <r>
      <rPr>
        <b/>
        <vertAlign val="superscript"/>
        <sz val="10"/>
        <rFont val="Arial"/>
        <family val="2"/>
      </rPr>
      <t>5)</t>
    </r>
  </si>
  <si>
    <t>Jaucheanfall</t>
  </si>
  <si>
    <r>
      <t xml:space="preserve">Jaucheanfall </t>
    </r>
    <r>
      <rPr>
        <b/>
        <vertAlign val="superscript"/>
        <sz val="10"/>
        <rFont val="Arial"/>
        <family val="2"/>
      </rPr>
      <t>4)</t>
    </r>
  </si>
  <si>
    <t>Verluste in %</t>
  </si>
  <si>
    <t>einheit</t>
  </si>
  <si>
    <t>kg je mittl.</t>
  </si>
  <si>
    <r>
      <t xml:space="preserve">je mittl. Jahresbestand </t>
    </r>
    <r>
      <rPr>
        <b/>
        <vertAlign val="superscript"/>
        <sz val="10"/>
        <rFont val="Arial"/>
        <family val="2"/>
      </rPr>
      <t>2)</t>
    </r>
  </si>
  <si>
    <r>
      <t>in m</t>
    </r>
    <r>
      <rPr>
        <b/>
        <vertAlign val="superscript"/>
        <sz val="10"/>
        <rFont val="Arial"/>
        <family val="2"/>
      </rPr>
      <t xml:space="preserve">3 </t>
    </r>
    <r>
      <rPr>
        <b/>
        <sz val="10"/>
        <rFont val="Arial"/>
        <family val="2"/>
      </rPr>
      <t xml:space="preserve">je mittl. </t>
    </r>
  </si>
  <si>
    <t>Stall- und Lager</t>
  </si>
  <si>
    <t>nach DüV</t>
  </si>
  <si>
    <r>
      <t xml:space="preserve">Jahresbestand </t>
    </r>
    <r>
      <rPr>
        <b/>
        <vertAlign val="superscript"/>
        <sz val="10"/>
        <rFont val="Arial"/>
        <family val="2"/>
      </rPr>
      <t>2)</t>
    </r>
  </si>
  <si>
    <t>(nach DüV)</t>
  </si>
  <si>
    <t>Anfall in t/Jahr</t>
  </si>
  <si>
    <r>
      <t>Jahresbest.²</t>
    </r>
    <r>
      <rPr>
        <b/>
        <vertAlign val="superscript"/>
        <sz val="10"/>
        <rFont val="Arial"/>
        <family val="2"/>
      </rPr>
      <t>)</t>
    </r>
  </si>
  <si>
    <t>Mist,</t>
  </si>
  <si>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</si>
  <si>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</si>
  <si>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r>
      <t xml:space="preserve">DüV </t>
    </r>
    <r>
      <rPr>
        <b/>
        <vertAlign val="superscript"/>
        <sz val="10"/>
        <rFont val="Arial"/>
        <family val="2"/>
      </rPr>
      <t>3)</t>
    </r>
  </si>
  <si>
    <t>kg/Tag</t>
  </si>
  <si>
    <r>
      <t xml:space="preserve">Ackerbetrieb </t>
    </r>
    <r>
      <rPr>
        <b/>
        <vertAlign val="superscript"/>
        <sz val="10"/>
        <rFont val="Arial"/>
        <family val="2"/>
      </rPr>
      <t>1)</t>
    </r>
    <r>
      <rPr>
        <b/>
        <sz val="10"/>
        <rFont val="Arial"/>
        <family val="2"/>
      </rPr>
      <t>, Stallhaltung</t>
    </r>
  </si>
  <si>
    <t xml:space="preserve">Weibliche Rinder über 6 Monate bis 1 Jahr </t>
  </si>
  <si>
    <t>Milchkuh (6000 kg Milch)</t>
  </si>
  <si>
    <t>Milchkuh (8000 kg Milch)</t>
  </si>
  <si>
    <t>Milchkuh (10000 kg Milch)</t>
  </si>
  <si>
    <t>Milchkuh (12000 kg Milch)</t>
  </si>
  <si>
    <r>
      <t xml:space="preserve">Grünlandbetrieb </t>
    </r>
    <r>
      <rPr>
        <b/>
        <vertAlign val="superscript"/>
        <sz val="10"/>
        <rFont val="Arial"/>
        <family val="2"/>
      </rPr>
      <t>1)</t>
    </r>
    <r>
      <rPr>
        <b/>
        <sz val="10"/>
        <rFont val="Arial"/>
        <family val="2"/>
      </rPr>
      <t>, konventionell</t>
    </r>
  </si>
  <si>
    <t>49 Tierartengruppen</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</si>
  <si>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</si>
  <si>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</si>
  <si>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</si>
  <si>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</si>
  <si>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</si>
  <si>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</si>
  <si>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</si>
  <si>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</si>
  <si>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</si>
  <si>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</si>
  <si>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</si>
  <si>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</si>
  <si>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</si>
  <si>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</si>
  <si>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</si>
  <si>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</si>
  <si>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Gülle und Jauche</t>
  </si>
  <si>
    <t>Anfall  Wirtschaftsdünger im Jahr in t</t>
  </si>
  <si>
    <t>Tierbezeichnung</t>
  </si>
  <si>
    <t>Nährstoffanfall</t>
  </si>
  <si>
    <t>Anfall Mist</t>
  </si>
  <si>
    <t>Nährstoffauss. Anfall</t>
  </si>
  <si>
    <t>Tierart wählen</t>
  </si>
  <si>
    <t>Gesamt</t>
  </si>
  <si>
    <t>kg/t bzw. m³</t>
  </si>
  <si>
    <t>flüssig</t>
  </si>
  <si>
    <t>fest</t>
  </si>
  <si>
    <t>fest in t</t>
  </si>
  <si>
    <t>je Tier und Jahr (365 Tage)</t>
  </si>
  <si>
    <t>kg</t>
  </si>
  <si>
    <t>Nährstoffgehalt/t</t>
  </si>
  <si>
    <t>spez. Gewicht</t>
  </si>
  <si>
    <t>Ø Jahresbestand</t>
  </si>
  <si>
    <t>spez.Gew.</t>
  </si>
  <si>
    <t>SM</t>
  </si>
  <si>
    <t>Anfall  Wirtschaftsdünger im Jahr in m³</t>
  </si>
  <si>
    <t>Lager</t>
  </si>
  <si>
    <t xml:space="preserve">Runde Behälter (flüssig) </t>
  </si>
  <si>
    <t>Rechteckige Behälter (flüssig)</t>
  </si>
  <si>
    <t>bzw. Lagerflächen (fest)</t>
  </si>
  <si>
    <t>Behälter/Lagerfläche 1</t>
  </si>
  <si>
    <t>Lager 1</t>
  </si>
  <si>
    <t>Lagerraum m³</t>
  </si>
  <si>
    <t>Lager 2</t>
  </si>
  <si>
    <t>Lager 3</t>
  </si>
  <si>
    <t>Lager 4</t>
  </si>
  <si>
    <t xml:space="preserve">Mindestanforderung nach DüV wird eingehalten: </t>
  </si>
  <si>
    <t>LF</t>
  </si>
  <si>
    <t>GV/ha</t>
  </si>
  <si>
    <t>Nährstoffgehalt Gülle/Jauche in kg/m³</t>
  </si>
  <si>
    <t>Nährstoffgehalt Stallmist in kg/t</t>
  </si>
  <si>
    <t>Pers.</t>
  </si>
  <si>
    <t>Gülle/Jauche notwendige ha</t>
  </si>
  <si>
    <t>%6Mo</t>
  </si>
  <si>
    <t>%9Mo</t>
  </si>
  <si>
    <t>grünes Gebiet</t>
  </si>
  <si>
    <t>GL/ha</t>
  </si>
  <si>
    <t>rote Flächen</t>
  </si>
  <si>
    <t>bei Anteil</t>
  </si>
  <si>
    <t>ger.</t>
  </si>
  <si>
    <t>Nähstoffgehalt Stroh kg/t</t>
  </si>
  <si>
    <t>Einstreu</t>
  </si>
  <si>
    <t>kg je GV und Tag</t>
  </si>
  <si>
    <t>Einstreu kg je GV und Tag</t>
  </si>
  <si>
    <t>Notwendiger Lagerraum nach DüV in Monate:</t>
  </si>
  <si>
    <t>Anfall in dieser Zeit (bzw. mindestens benötigter Lagerraum) in m³</t>
  </si>
  <si>
    <t>Behälter/Lagerfläche 2</t>
  </si>
  <si>
    <t>Behälter/Lagerfläche 3</t>
  </si>
  <si>
    <t>Behälter/Lagerfläche 4</t>
  </si>
  <si>
    <t>Zupacht</t>
  </si>
  <si>
    <t>Verpacht</t>
  </si>
  <si>
    <t>Fläche im grünen Gebiet (%) ab 2020</t>
  </si>
  <si>
    <t>Plaus. Tiere ohne Gülle</t>
  </si>
  <si>
    <t>kg/GV und Tag</t>
  </si>
  <si>
    <t>GV/ha im Betrieb:</t>
  </si>
  <si>
    <t>Lager in Monate Stallmist</t>
  </si>
  <si>
    <t>bis 2020</t>
  </si>
  <si>
    <t>ab 2020</t>
  </si>
  <si>
    <t>Lager in Monaten Stallmist</t>
  </si>
  <si>
    <t>Mistanfall im m³</t>
  </si>
  <si>
    <t>Silosaft</t>
  </si>
  <si>
    <t>% TS</t>
  </si>
  <si>
    <t>spez. Gew.</t>
  </si>
  <si>
    <t>TS [%]</t>
  </si>
  <si>
    <t xml:space="preserve">Anfall Gülle </t>
  </si>
  <si>
    <t xml:space="preserve">gesamt </t>
  </si>
  <si>
    <t xml:space="preserve">Anfall Jauche </t>
  </si>
  <si>
    <t>gesamt</t>
  </si>
  <si>
    <t>Menge</t>
  </si>
  <si>
    <t>TS</t>
  </si>
  <si>
    <t>Wasser</t>
  </si>
  <si>
    <t>org. Dünger</t>
  </si>
  <si>
    <t>Menge in m³</t>
  </si>
  <si>
    <t>Menge in t</t>
  </si>
  <si>
    <t>TS in %</t>
  </si>
  <si>
    <t>Anfall flüssiger und fester Wirtschaftsdünger (Gülle/Jauche/Stallmist) aus Tierhaltung</t>
  </si>
  <si>
    <t xml:space="preserve">Separierung flüssiger Wirtschaftsdünger </t>
  </si>
  <si>
    <t>pro Jahr</t>
  </si>
  <si>
    <t>t/m³</t>
  </si>
  <si>
    <t>für Wirtschaftsdünger</t>
  </si>
  <si>
    <t>ja</t>
  </si>
  <si>
    <t>nein</t>
  </si>
  <si>
    <r>
      <t>Sonstige Lagerkapazitäten im Betrieb</t>
    </r>
    <r>
      <rPr>
        <b/>
        <sz val="10"/>
        <rFont val="Arial"/>
        <family val="2"/>
      </rPr>
      <t xml:space="preserve"> </t>
    </r>
  </si>
  <si>
    <t>Tiere für Beech. Lagerraum flüssig+fest</t>
  </si>
  <si>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</si>
  <si>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</si>
  <si>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t>fest in m³</t>
  </si>
  <si>
    <t>Max. Ausbringung Betrieb</t>
  </si>
  <si>
    <t xml:space="preserve">1) Bei offenen Behältern sind von der Höhe 20 cm (Freiraum) und bei geschlossenen Behältern 10 cm abzuziehen. </t>
  </si>
  <si>
    <r>
      <t>Höhe</t>
    </r>
    <r>
      <rPr>
        <b/>
        <vertAlign val="superscript"/>
        <sz val="10"/>
        <rFont val="Arial"/>
        <family val="2"/>
      </rPr>
      <t>1)</t>
    </r>
  </si>
  <si>
    <t>Lagerraum der dem Betrieb zur Verfügung steht in m³</t>
  </si>
  <si>
    <t>Betrieb mit Erleichterungen (ab 2020)</t>
  </si>
  <si>
    <t>Eingabemöglichkeit für abweichende Werte</t>
  </si>
  <si>
    <t>TS-Gehalt</t>
  </si>
  <si>
    <t>Niederschlagswasser und sonstige Abwässer, wenn eingeleitet wird</t>
  </si>
  <si>
    <t>Hausabwässer Anzahl Personen</t>
  </si>
  <si>
    <t>ha zusätzliche Ausbringfläche</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</si>
  <si>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</si>
  <si>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</si>
  <si>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</si>
  <si>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2) Bezogen auf die LF abzüglich Flächen ohne Nutzung und ohne Düngung</t>
  </si>
  <si>
    <t>ha</t>
  </si>
  <si>
    <t xml:space="preserve">     und den zusätzlichen Ausbringflächen</t>
  </si>
  <si>
    <t>Zwiz.</t>
  </si>
  <si>
    <t>Mindestanfall für Gärsaft  - mind. 3 % des Volumens des größten Silos</t>
  </si>
  <si>
    <r>
      <t>Sonstige Wasserzugabe im Jahr</t>
    </r>
    <r>
      <rPr>
        <sz val="9"/>
        <rFont val="Arial"/>
        <family val="2"/>
      </rPr>
      <t xml:space="preserve"> </t>
    </r>
    <r>
      <rPr>
        <sz val="8"/>
        <rFont val="Arial"/>
        <family val="2"/>
      </rPr>
      <t>(z.B. Dachrinnenwasser, Reinigungswasser)</t>
    </r>
  </si>
  <si>
    <t>Flächen nicht abgedeckter Gülle- und Jaucheläger</t>
  </si>
  <si>
    <t>Fläche verunreinigtes Wasser z.B. ungereinigte Silofläche oder Ladefläche</t>
  </si>
  <si>
    <r>
      <t>Sonstige Flächen</t>
    </r>
    <r>
      <rPr>
        <sz val="8"/>
        <rFont val="Arial"/>
        <family val="2"/>
      </rPr>
      <t xml:space="preserve"> (gereinigte Siloflächen, Stallmistläger, abgedeckte Silo- und Gülleläger)</t>
    </r>
  </si>
  <si>
    <t>Ergebnis 2019</t>
  </si>
  <si>
    <t>ha LF nach MFA</t>
  </si>
  <si>
    <t>Landkreis aus Betriebsnummer</t>
  </si>
  <si>
    <r>
      <t>NH</t>
    </r>
    <r>
      <rPr>
        <vertAlign val="subscript"/>
        <sz val="8"/>
        <rFont val="Arial"/>
        <family val="2"/>
      </rPr>
      <t>4</t>
    </r>
    <r>
      <rPr>
        <sz val="8"/>
        <rFont val="Arial"/>
        <family val="2"/>
      </rPr>
      <t>-N</t>
    </r>
  </si>
  <si>
    <t>NH4-N Anteil</t>
  </si>
  <si>
    <t xml:space="preserve">Jauche </t>
  </si>
  <si>
    <t>NH4-Gehalt</t>
  </si>
  <si>
    <t>NH4 in kg N</t>
  </si>
  <si>
    <t>Gülle/Jauche</t>
  </si>
  <si>
    <t>Sommer</t>
  </si>
  <si>
    <t>Winter</t>
  </si>
  <si>
    <t xml:space="preserve">Gülle </t>
  </si>
  <si>
    <t>Anfall Betrieb t/Jahr</t>
  </si>
  <si>
    <t>Mist für Stroh Geflügel</t>
  </si>
  <si>
    <t>Mist m³</t>
  </si>
  <si>
    <t>Gülle m³</t>
  </si>
  <si>
    <t>mm/Jahr (langj. Mittel)</t>
  </si>
  <si>
    <t>% der Gülle reichen 6 Mo Lagerraum</t>
  </si>
  <si>
    <t>% der Gülle benötigen wir 9 Mo Lagerraum</t>
  </si>
  <si>
    <t>Fläche eigen Grünland max. ha 255</t>
  </si>
  <si>
    <t>% der Gülle für 6 Mo Lagerraum</t>
  </si>
  <si>
    <t>% der Gülle die 9 Mo gelagert werden muss</t>
  </si>
  <si>
    <t>Lämmer, Schafe bis 1 Jahr</t>
  </si>
  <si>
    <t>Mutterschafe (ohne Lamm), andere Schafe</t>
  </si>
  <si>
    <t xml:space="preserve">    Zusätzlich sind für nicht abpumpfähige Mengen 10 cm zu berücksichtigen und von der Höhe abzuziehen. </t>
  </si>
  <si>
    <t>© Bayerische Landesanstalt für Landwirtschaft, Institut für Agrarökologie - Düngung (Of, We, Sp, Ka, Br); Stand: 13.12.19</t>
  </si>
  <si>
    <t>Berechnete Werte Betrieb</t>
  </si>
  <si>
    <t>Angabe der Weideflächen</t>
  </si>
  <si>
    <t>Nährstoffanfall in kg/ha</t>
  </si>
  <si>
    <t>Berechnung Weide</t>
  </si>
  <si>
    <t>Nährstoffanfall Weide (kg/ha)</t>
  </si>
  <si>
    <t>Lagerkapazitätsrechner für Wirtschaftsdünger</t>
  </si>
  <si>
    <t>ha notwendig bei Rind und Grünland (255)</t>
  </si>
  <si>
    <t xml:space="preserve">                     (Stand: Januar 2021)</t>
  </si>
  <si>
    <t>Vorhandene Lagerbehälter im Betrieb für flüssige (Gülle) und feste (Mist) Wirtschaftsdünger</t>
  </si>
  <si>
    <t>Zuchtsauen mit 25 Ferkel bis 8 kg, stark N-/P-reduziert</t>
  </si>
  <si>
    <t>Zuchtsauen mit 28 Ferkel bis 8 kg, stark N-/P-reduziert</t>
  </si>
  <si>
    <t>Zuchtsauen mit 25 Ferkel bis 28 kg, stark N-/P-reduziert</t>
  </si>
  <si>
    <t>Zuchtsauen mit 28 Ferkel bis 28 kg, stark N-/P-reduziert</t>
  </si>
  <si>
    <t>Ferkel von 8 bis 28 kg, stark N-/P-reduziert</t>
  </si>
  <si>
    <t>Mastschweine (750 g TZ), Standard</t>
  </si>
  <si>
    <t>Mastschweine (750 g TZ), N-/P-reduziert</t>
  </si>
  <si>
    <t>Mastschweine (750 g TZ), stark N-/P-reduziert</t>
  </si>
  <si>
    <t>Mastschweine (850 g TZ), stark N-/P-reduziert</t>
  </si>
  <si>
    <t>Damwild mit Nachzucht (inkl. Jährling und Kalb)</t>
  </si>
  <si>
    <t>Rotwild mit Nachzucht (inkl. Jährling und Kalb)</t>
  </si>
  <si>
    <t>Lama 135 kg, mit Nachzucht</t>
  </si>
  <si>
    <t>Alpaka 65 kg, mit Nachzucht</t>
  </si>
  <si>
    <t>Geflügel: Einstreu in Menge je 1000 Tiere, Festmist in Menge je Tier</t>
  </si>
  <si>
    <t xml:space="preserve">hoch nach DüV </t>
  </si>
  <si>
    <t>hoch LfL</t>
  </si>
  <si>
    <t>Mist hoch</t>
  </si>
  <si>
    <t xml:space="preserve"> im Rahmen des Investitionsprogramms Landwirtschaft</t>
  </si>
  <si>
    <t>Aufnahme Gülle/Jauche und Stallmist</t>
  </si>
  <si>
    <t>Anfall/Aufnahme  Wirtschaftsdünger im Jahr in t</t>
  </si>
  <si>
    <t>Anfall/Aufnahme  Wirtschaftsdünger im Jahr in m³</t>
  </si>
  <si>
    <t xml:space="preserve">Verpachtung von Lagerkapazität </t>
  </si>
  <si>
    <t xml:space="preserve">Verpachtung </t>
  </si>
  <si>
    <t>Verpachtung</t>
  </si>
  <si>
    <t>Lagerkapazität, die dem Betrieb zur Verfügung steht in m³</t>
  </si>
  <si>
    <r>
      <t xml:space="preserve">Notwendige Lagerkapazität </t>
    </r>
    <r>
      <rPr>
        <sz val="12"/>
        <rFont val="Arial"/>
        <family val="2"/>
      </rPr>
      <t>(</t>
    </r>
    <r>
      <rPr>
        <sz val="10"/>
        <rFont val="Arial"/>
        <family val="2"/>
      </rPr>
      <t>bei den angegebenen Tieren und Flächen</t>
    </r>
    <r>
      <rPr>
        <vertAlign val="superscript"/>
        <sz val="10"/>
        <rFont val="Arial"/>
        <family val="2"/>
      </rPr>
      <t>2)</t>
    </r>
    <r>
      <rPr>
        <sz val="10"/>
        <rFont val="Arial"/>
        <family val="2"/>
      </rPr>
      <t xml:space="preserve">) </t>
    </r>
  </si>
  <si>
    <t>Notwendige Lagerkapazität nach den Grenzen der Förderung in Monate</t>
  </si>
  <si>
    <t>Anfall in dieser Zeit (bzw. mindestens benötigte Lagerkapazität) in m³</t>
  </si>
  <si>
    <t>Lagerkapazität, die dem Betrieb derzeit zur Verfügung steht in m³</t>
  </si>
  <si>
    <t>Summe Lagerbehälter im Betrieb für flüssige und feste Wirtschaftsdünger in m³</t>
  </si>
  <si>
    <t>Menge Verpachtung in m³</t>
  </si>
  <si>
    <t>Notwendige zusätzliche Lagerkapazität in m³</t>
  </si>
  <si>
    <t>Adresse und Angabe zur Verpachtung</t>
  </si>
  <si>
    <t>Bitte die Berechnung als PDF-Datei speichern, um sie ins Antragsportal hochladen zu können.</t>
  </si>
  <si>
    <t>Jahr</t>
  </si>
  <si>
    <t>© Bayerische Landesanstalt für Landwirtschaft; Stand: 01.09.2022</t>
  </si>
  <si>
    <t>Gülleanfall, Festmist und Jaucheanfall auf Basisdaten 2022 aktualisiert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</si>
</sst>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000"/>
    <numFmt numFmtId="166" formatCode="0.000"/>
    <numFmt numFmtId="167" formatCode="0.0"/>
    <numFmt numFmtId="168" formatCode="0.0%"/>
  </numFmts>
  <fonts count="64" x14ac:knownFonts="1">
    <font>
      <sz val="10"/>
      <name val="Arial"/>
    </font>
    <font>
      <sz val="10"/>
      <name val="Arial"/>
      <family val="2"/>
    </font>
    <font>
      <b/>
      <sz val="10"/>
      <name val="Arial"/>
      <family val="2"/>
    </font>
    <font>
      <b/>
      <sz val="16"/>
      <name val="Arial"/>
      <family val="2"/>
    </font>
    <font>
      <b/>
      <sz val="12"/>
      <name val="Arial"/>
      <family val="2"/>
    </font>
    <font>
      <sz val="8"/>
      <name val="Arial"/>
      <family val="2"/>
    </font>
    <font>
      <sz val="10"/>
      <color indexed="12"/>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b/>
      <sz val="9"/>
      <name val="Arial"/>
      <family val="2"/>
    </font>
    <font>
      <sz val="10"/>
      <name val="MS Sans Serif"/>
      <family val="2"/>
    </font>
    <font>
      <b/>
      <sz val="9"/>
      <color indexed="81"/>
      <name val="Tahoma"/>
      <family val="2"/>
    </font>
    <font>
      <b/>
      <strike/>
      <sz val="10"/>
      <name val="Arial"/>
      <family val="2"/>
    </font>
    <font>
      <b/>
      <vertAlign val="subscript"/>
      <sz val="10"/>
      <name val="Arial"/>
      <family val="2"/>
    </font>
    <font>
      <b/>
      <sz val="10"/>
      <color indexed="10"/>
      <name val="Arial"/>
      <family val="2"/>
    </font>
    <font>
      <sz val="11"/>
      <name val="Arial"/>
      <family val="2"/>
    </font>
    <font>
      <vertAlign val="subscript"/>
      <sz val="8"/>
      <name val="Arial"/>
      <family val="2"/>
    </font>
    <font>
      <b/>
      <sz val="8"/>
      <name val="Arial"/>
      <family val="2"/>
    </font>
    <font>
      <vertAlign val="subscript"/>
      <sz val="10"/>
      <name val="Arial"/>
      <family val="2"/>
    </font>
    <font>
      <vertAlign val="superscript"/>
      <sz val="10"/>
      <name val="Arial"/>
      <family val="2"/>
    </font>
    <font>
      <sz val="8"/>
      <color indexed="81"/>
      <name val="Tahoma"/>
      <family val="2"/>
    </font>
    <font>
      <sz val="10"/>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0"/>
      <color rgb="FFFF0000"/>
      <name val="Arial"/>
      <family val="2"/>
    </font>
    <font>
      <b/>
      <sz val="10"/>
      <color rgb="FF00B050"/>
      <name val="Arial"/>
      <family val="2"/>
    </font>
    <font>
      <b/>
      <sz val="12"/>
      <color rgb="FFFF0000"/>
      <name val="Arial"/>
      <family val="2"/>
    </font>
    <font>
      <b/>
      <sz val="12"/>
      <color rgb="FF00B0F0"/>
      <name val="Arial"/>
      <family val="2"/>
    </font>
    <font>
      <sz val="10"/>
      <color theme="1"/>
      <name val="Calibri"/>
      <family val="2"/>
      <scheme val="minor"/>
    </font>
    <font>
      <b/>
      <sz val="11"/>
      <color rgb="FFFF0000"/>
      <name val="Arial"/>
      <family val="2"/>
    </font>
    <font>
      <sz val="10"/>
      <color rgb="FF00B050"/>
      <name val="Arial"/>
      <family val="2"/>
    </font>
    <font>
      <sz val="14"/>
      <name val="Arial"/>
      <family val="2"/>
    </font>
    <font>
      <sz val="10"/>
      <color theme="1"/>
      <name val="Arial"/>
      <family val="2"/>
    </font>
    <font>
      <i/>
      <sz val="10"/>
      <name val="Arial"/>
      <family val="2"/>
    </font>
    <font>
      <i/>
      <sz val="10"/>
      <color indexed="8"/>
      <name val="Arial"/>
      <family val="2"/>
    </font>
    <font>
      <sz val="10"/>
      <color rgb="FF0070C0"/>
      <name val="Arial"/>
      <family val="2"/>
    </font>
    <font>
      <sz val="10"/>
      <color rgb="FF00B0F0"/>
      <name val="Arial"/>
      <family val="2"/>
    </font>
    <font>
      <i/>
      <sz val="10"/>
      <color rgb="FF00B0F0"/>
      <name val="Arial"/>
      <family val="2"/>
    </font>
    <font>
      <sz val="10"/>
      <color theme="8" tint="-0.249977111117893"/>
      <name val="Arial"/>
      <family val="2"/>
    </font>
    <font>
      <sz val="9"/>
      <color indexed="81"/>
      <name val="Segoe UI"/>
      <family val="2"/>
    </font>
    <font>
      <b/>
      <sz val="9"/>
      <color indexed="81"/>
      <name val="Segoe UI"/>
      <family val="2"/>
    </font>
  </fonts>
  <fills count="50">
    <fill>
      <patternFill patternType="none"/>
    </fill>
    <fill>
      <patternFill patternType="gray125"/>
    </fill>
    <fill>
      <patternFill patternType="solid">
        <fgColor indexed="43"/>
        <bgColor indexed="64"/>
      </patternFill>
    </fill>
    <fill>
      <patternFill patternType="darkDown"/>
    </fill>
    <fill>
      <patternFill patternType="light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CC66"/>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lightUp">
        <bgColor theme="0" tint="-0.14999847407452621"/>
      </patternFill>
    </fill>
    <fill>
      <patternFill patternType="solid">
        <fgColor rgb="FFEE12C4"/>
        <bgColor indexed="64"/>
      </patternFill>
    </fill>
    <fill>
      <patternFill patternType="lightUp">
        <bgColor theme="0"/>
      </patternFill>
    </fill>
    <fill>
      <patternFill patternType="solid">
        <fgColor theme="4" tint="0.59999389629810485"/>
        <bgColor indexed="64"/>
      </patternFill>
    </fill>
    <fill>
      <patternFill patternType="lightUp">
        <bgColor rgb="FFFFFF00"/>
      </patternFill>
    </fill>
    <fill>
      <patternFill patternType="darkDown">
        <bgColor rgb="FFFFFF00"/>
      </patternFill>
    </fill>
  </fills>
  <borders count="13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dashed">
        <color indexed="64"/>
      </right>
      <top/>
      <bottom/>
      <diagonal/>
    </border>
    <border>
      <left style="thin">
        <color indexed="64"/>
      </left>
      <right style="dashed">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medium">
        <color indexed="64"/>
      </right>
      <top style="dashed">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dashed">
        <color indexed="64"/>
      </right>
      <top/>
      <bottom style="medium">
        <color indexed="64"/>
      </bottom>
      <diagonal/>
    </border>
    <border>
      <left style="thin">
        <color indexed="64"/>
      </left>
      <right style="dashed">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ashed">
        <color indexed="64"/>
      </right>
      <top/>
      <bottom style="dotted">
        <color indexed="64"/>
      </bottom>
      <diagonal/>
    </border>
    <border>
      <left style="dotted">
        <color indexed="64"/>
      </left>
      <right style="dashed">
        <color indexed="64"/>
      </right>
      <top style="dotted">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thin">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otted">
        <color indexed="64"/>
      </bottom>
      <diagonal/>
    </border>
    <border>
      <left style="dotted">
        <color indexed="64"/>
      </left>
      <right/>
      <top/>
      <bottom style="dotted">
        <color indexed="64"/>
      </bottom>
      <diagonal/>
    </border>
    <border>
      <left style="thin">
        <color indexed="64"/>
      </left>
      <right style="dashed">
        <color indexed="64"/>
      </right>
      <top style="dotted">
        <color indexed="64"/>
      </top>
      <bottom style="dashed">
        <color indexed="64"/>
      </bottom>
      <diagonal/>
    </border>
    <border>
      <left style="dashed">
        <color indexed="64"/>
      </left>
      <right style="medium">
        <color indexed="64"/>
      </right>
      <top style="dott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dotted">
        <color indexed="64"/>
      </right>
      <top style="dotted">
        <color indexed="64"/>
      </top>
      <bottom/>
      <diagonal/>
    </border>
    <border>
      <left style="dotted">
        <color indexed="64"/>
      </left>
      <right style="dashed">
        <color indexed="64"/>
      </right>
      <top style="dotted">
        <color indexed="64"/>
      </top>
      <bottom/>
      <diagonal/>
    </border>
    <border>
      <left style="dotted">
        <color indexed="64"/>
      </left>
      <right style="medium">
        <color indexed="64"/>
      </right>
      <top style="dotted">
        <color indexed="64"/>
      </top>
      <bottom/>
      <diagonal/>
    </border>
    <border>
      <left/>
      <right/>
      <top/>
      <bottom style="dotted">
        <color indexed="64"/>
      </bottom>
      <diagonal/>
    </border>
    <border>
      <left style="medium">
        <color indexed="64"/>
      </left>
      <right style="medium">
        <color indexed="64"/>
      </right>
      <top style="dotted">
        <color indexed="64"/>
      </top>
      <bottom/>
      <diagonal/>
    </border>
  </borders>
  <cellStyleXfs count="74">
    <xf numFmtId="0" fontId="0" fillId="0" borderId="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2" fillId="29" borderId="125" applyNumberFormat="0" applyAlignment="0" applyProtection="0"/>
    <xf numFmtId="0" fontId="33" fillId="29" borderId="126" applyNumberFormat="0" applyAlignment="0" applyProtection="0"/>
    <xf numFmtId="0" fontId="34" fillId="30" borderId="126" applyNumberFormat="0" applyAlignment="0" applyProtection="0"/>
    <xf numFmtId="0" fontId="35" fillId="0" borderId="127" applyNumberFormat="0" applyFill="0" applyAlignment="0" applyProtection="0"/>
    <xf numFmtId="0" fontId="36" fillId="0" borderId="0" applyNumberFormat="0" applyFill="0" applyBorder="0" applyAlignment="0" applyProtection="0"/>
    <xf numFmtId="0" fontId="37" fillId="31" borderId="0" applyNumberFormat="0" applyBorder="0" applyAlignment="0" applyProtection="0"/>
    <xf numFmtId="164" fontId="9" fillId="0" borderId="0" applyFont="0" applyFill="0" applyBorder="0" applyAlignment="0" applyProtection="0"/>
    <xf numFmtId="164" fontId="29" fillId="0" borderId="0" applyFont="0" applyFill="0" applyBorder="0" applyAlignment="0" applyProtection="0"/>
    <xf numFmtId="0" fontId="38" fillId="32" borderId="0" applyNumberFormat="0" applyBorder="0" applyAlignment="0" applyProtection="0"/>
    <xf numFmtId="0" fontId="30" fillId="33" borderId="128" applyNumberFormat="0" applyFont="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39" fillId="34" borderId="0" applyNumberFormat="0" applyBorder="0" applyAlignment="0" applyProtection="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9" fillId="0" borderId="0"/>
    <xf numFmtId="0" fontId="30" fillId="0" borderId="0"/>
    <xf numFmtId="0" fontId="40" fillId="0" borderId="0" applyNumberFormat="0" applyFill="0" applyBorder="0" applyAlignment="0" applyProtection="0"/>
    <xf numFmtId="0" fontId="41" fillId="0" borderId="129" applyNumberFormat="0" applyFill="0" applyAlignment="0" applyProtection="0"/>
    <xf numFmtId="0" fontId="42" fillId="0" borderId="130" applyNumberFormat="0" applyFill="0" applyAlignment="0" applyProtection="0"/>
    <xf numFmtId="0" fontId="43" fillId="0" borderId="131" applyNumberFormat="0" applyFill="0" applyAlignment="0" applyProtection="0"/>
    <xf numFmtId="0" fontId="43" fillId="0" borderId="0" applyNumberFormat="0" applyFill="0" applyBorder="0" applyAlignment="0" applyProtection="0"/>
    <xf numFmtId="0" fontId="44" fillId="0" borderId="132" applyNumberFormat="0" applyFill="0" applyAlignment="0" applyProtection="0"/>
    <xf numFmtId="0" fontId="45" fillId="0" borderId="0" applyNumberFormat="0" applyFill="0" applyBorder="0" applyAlignment="0" applyProtection="0"/>
    <xf numFmtId="0" fontId="46" fillId="35" borderId="133" applyNumberFormat="0" applyAlignment="0" applyProtection="0"/>
  </cellStyleXfs>
  <cellXfs count="1068">
    <xf numFmtId="0" fontId="0" fillId="0" borderId="0" xfId="0"/>
    <xf numFmtId="0" fontId="12" fillId="0" borderId="0" xfId="0" applyFont="1" applyAlignment="1" applyProtection="1">
      <alignment vertical="center"/>
    </xf>
    <xf numFmtId="0" fontId="2" fillId="0" borderId="1" xfId="0" applyFont="1" applyFill="1" applyBorder="1" applyAlignment="1" applyProtection="1">
      <alignment vertical="center"/>
    </xf>
    <xf numFmtId="0" fontId="2" fillId="0" borderId="3" xfId="0" applyFont="1" applyBorder="1" applyAlignment="1" applyProtection="1">
      <alignment vertical="center"/>
    </xf>
    <xf numFmtId="0" fontId="9" fillId="0" borderId="4" xfId="0" applyFont="1" applyBorder="1" applyAlignment="1" applyProtection="1">
      <alignment vertical="center"/>
    </xf>
    <xf numFmtId="0" fontId="2" fillId="0" borderId="0" xfId="0" applyFont="1" applyBorder="1" applyAlignment="1" applyProtection="1">
      <alignment vertical="center"/>
    </xf>
    <xf numFmtId="0" fontId="2" fillId="0" borderId="1" xfId="0" applyFont="1" applyBorder="1" applyAlignment="1" applyProtection="1">
      <alignment vertical="center"/>
    </xf>
    <xf numFmtId="0" fontId="2" fillId="0" borderId="5" xfId="0" applyFont="1" applyBorder="1" applyAlignment="1" applyProtection="1">
      <alignment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0" xfId="0" applyAlignment="1" applyProtection="1">
      <alignment vertical="center"/>
    </xf>
    <xf numFmtId="0" fontId="0" fillId="0" borderId="0" xfId="0" applyAlignment="1">
      <alignment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2" fillId="0" borderId="0" xfId="0" applyNumberFormat="1" applyFont="1" applyFill="1" applyBorder="1" applyAlignment="1" applyProtection="1">
      <alignment horizontal="center" vertical="center"/>
    </xf>
    <xf numFmtId="0" fontId="0" fillId="2" borderId="7" xfId="0"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10" fillId="0" borderId="0" xfId="0" applyFont="1" applyAlignment="1" applyProtection="1">
      <alignment vertical="center"/>
    </xf>
    <xf numFmtId="0" fontId="0" fillId="2" borderId="6" xfId="0" applyFill="1" applyBorder="1" applyAlignment="1" applyProtection="1">
      <alignment vertical="center"/>
      <protection locked="0"/>
    </xf>
    <xf numFmtId="0" fontId="13" fillId="0" borderId="0" xfId="0" applyFont="1" applyAlignment="1" applyProtection="1">
      <alignment vertical="center"/>
    </xf>
    <xf numFmtId="0" fontId="13" fillId="0" borderId="0" xfId="0" applyFont="1" applyAlignment="1">
      <alignment vertical="center"/>
    </xf>
    <xf numFmtId="0" fontId="12" fillId="0" borderId="0" xfId="0" applyFont="1" applyAlignment="1">
      <alignment vertical="center"/>
    </xf>
    <xf numFmtId="0" fontId="0" fillId="0" borderId="0" xfId="0" applyFill="1" applyBorder="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horizontal="center"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2" fillId="0" borderId="0" xfId="0"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0" fontId="2" fillId="0" borderId="0" xfId="0" applyFont="1" applyAlignment="1">
      <alignment vertical="center"/>
    </xf>
    <xf numFmtId="0" fontId="2" fillId="0" borderId="11" xfId="0" applyFont="1" applyBorder="1" applyAlignment="1" applyProtection="1">
      <alignment horizontal="center" vertical="center"/>
    </xf>
    <xf numFmtId="0" fontId="9" fillId="0" borderId="0" xfId="0" applyFont="1" applyBorder="1" applyAlignment="1" applyProtection="1">
      <alignment vertical="center"/>
    </xf>
    <xf numFmtId="0" fontId="9" fillId="0" borderId="0" xfId="0" applyFont="1" applyAlignment="1" applyProtection="1">
      <alignment horizontal="center" vertical="center"/>
    </xf>
    <xf numFmtId="0" fontId="12" fillId="0" borderId="0" xfId="0" applyFont="1" applyBorder="1" applyAlignment="1" applyProtection="1">
      <alignment vertical="center"/>
    </xf>
    <xf numFmtId="0" fontId="12" fillId="0" borderId="0" xfId="0" applyFont="1" applyBorder="1" applyAlignment="1" applyProtection="1">
      <alignment horizontal="center" vertical="center"/>
    </xf>
    <xf numFmtId="0" fontId="12" fillId="0" borderId="0" xfId="0" applyFont="1" applyFill="1" applyBorder="1" applyAlignment="1" applyProtection="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2" fillId="0" borderId="0" xfId="0" applyFont="1" applyFill="1" applyBorder="1" applyAlignment="1" applyProtection="1">
      <alignment vertical="center"/>
    </xf>
    <xf numFmtId="1" fontId="2" fillId="0" borderId="0" xfId="0" applyNumberFormat="1" applyFont="1" applyBorder="1" applyAlignment="1" applyProtection="1">
      <alignment horizontal="center" vertical="center"/>
    </xf>
    <xf numFmtId="0" fontId="5" fillId="0" borderId="0" xfId="0" applyFont="1" applyAlignment="1" applyProtection="1">
      <alignment vertical="center"/>
    </xf>
    <xf numFmtId="0" fontId="0" fillId="0" borderId="0" xfId="0" applyFill="1" applyBorder="1" applyAlignment="1" applyProtection="1">
      <alignment vertical="center"/>
      <protection hidden="1"/>
    </xf>
    <xf numFmtId="0" fontId="9" fillId="0" borderId="0" xfId="0" applyFont="1" applyAlignment="1">
      <alignment vertical="center"/>
    </xf>
    <xf numFmtId="0" fontId="4" fillId="0" borderId="0" xfId="0" applyFont="1" applyBorder="1" applyAlignment="1" applyProtection="1">
      <alignment vertical="center"/>
    </xf>
    <xf numFmtId="0" fontId="9" fillId="0" borderId="0" xfId="0" applyFont="1" applyAlignment="1">
      <alignment horizontal="center" vertical="center"/>
    </xf>
    <xf numFmtId="0" fontId="9" fillId="0" borderId="0" xfId="0" applyFont="1"/>
    <xf numFmtId="0" fontId="9" fillId="0" borderId="12" xfId="0" applyFont="1" applyBorder="1" applyAlignment="1" applyProtection="1">
      <alignment horizontal="center" vertical="center"/>
    </xf>
    <xf numFmtId="0" fontId="0" fillId="0" borderId="4" xfId="0" applyBorder="1" applyAlignment="1" applyProtection="1">
      <alignment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0" fillId="0" borderId="14" xfId="0" applyBorder="1" applyAlignment="1" applyProtection="1">
      <alignment horizontal="center" vertical="center"/>
    </xf>
    <xf numFmtId="0" fontId="9" fillId="0" borderId="15" xfId="0" applyFont="1" applyBorder="1" applyAlignment="1">
      <alignment horizontal="center" vertical="center"/>
    </xf>
    <xf numFmtId="49" fontId="2" fillId="0" borderId="0" xfId="63" applyNumberFormat="1" applyFont="1" applyFill="1"/>
    <xf numFmtId="49" fontId="16" fillId="0" borderId="0" xfId="63" applyNumberFormat="1" applyFont="1" applyFill="1"/>
    <xf numFmtId="49" fontId="2" fillId="0" borderId="0" xfId="63" applyNumberFormat="1" applyFont="1" applyFill="1" applyBorder="1"/>
    <xf numFmtId="0" fontId="9" fillId="0" borderId="0" xfId="63"/>
    <xf numFmtId="0" fontId="2" fillId="0" borderId="0" xfId="63" applyFont="1" applyFill="1" applyAlignment="1">
      <alignment horizontal="center"/>
    </xf>
    <xf numFmtId="49" fontId="16" fillId="0" borderId="0" xfId="63" applyNumberFormat="1" applyFont="1" applyFill="1" applyAlignment="1">
      <alignment horizontal="left"/>
    </xf>
    <xf numFmtId="49" fontId="2" fillId="0" borderId="2" xfId="63" applyNumberFormat="1" applyFont="1" applyFill="1" applyBorder="1"/>
    <xf numFmtId="49" fontId="2" fillId="0" borderId="3" xfId="63" applyNumberFormat="1" applyFont="1" applyFill="1" applyBorder="1"/>
    <xf numFmtId="0" fontId="2" fillId="0" borderId="3" xfId="63" applyFont="1" applyFill="1" applyBorder="1" applyAlignment="1"/>
    <xf numFmtId="49" fontId="2" fillId="0" borderId="0" xfId="63" applyNumberFormat="1" applyFont="1" applyFill="1" applyBorder="1" applyAlignment="1"/>
    <xf numFmtId="0" fontId="2" fillId="0" borderId="0" xfId="63" applyFont="1" applyFill="1" applyBorder="1" applyAlignment="1"/>
    <xf numFmtId="49" fontId="2" fillId="0" borderId="4" xfId="63" applyNumberFormat="1" applyFont="1" applyFill="1" applyBorder="1"/>
    <xf numFmtId="49" fontId="9" fillId="0" borderId="17" xfId="63" applyNumberFormat="1" applyFont="1" applyFill="1" applyBorder="1"/>
    <xf numFmtId="49" fontId="9" fillId="0" borderId="18" xfId="63" applyNumberFormat="1" applyFont="1" applyFill="1" applyBorder="1"/>
    <xf numFmtId="0" fontId="2" fillId="0" borderId="19" xfId="63" applyFont="1" applyFill="1" applyBorder="1" applyAlignment="1">
      <alignment horizontal="center"/>
    </xf>
    <xf numFmtId="49" fontId="9" fillId="0" borderId="0" xfId="63" applyNumberFormat="1" applyFont="1" applyFill="1" applyBorder="1"/>
    <xf numFmtId="49" fontId="2" fillId="0" borderId="26" xfId="63" applyNumberFormat="1" applyFont="1" applyFill="1" applyBorder="1"/>
    <xf numFmtId="49" fontId="9" fillId="0" borderId="6" xfId="63" applyNumberFormat="1" applyFont="1" applyFill="1" applyBorder="1"/>
    <xf numFmtId="0" fontId="9" fillId="0" borderId="27" xfId="63" applyFont="1" applyFill="1" applyBorder="1" applyAlignment="1">
      <alignment horizontal="center"/>
    </xf>
    <xf numFmtId="49" fontId="9" fillId="0" borderId="4" xfId="63" applyNumberFormat="1" applyFont="1" applyFill="1" applyBorder="1"/>
    <xf numFmtId="49" fontId="9" fillId="0" borderId="30" xfId="63" applyNumberFormat="1" applyFont="1" applyFill="1" applyBorder="1"/>
    <xf numFmtId="49" fontId="9" fillId="0" borderId="31" xfId="63" applyNumberFormat="1" applyFont="1" applyFill="1" applyBorder="1"/>
    <xf numFmtId="49" fontId="9" fillId="0" borderId="0" xfId="63" applyNumberFormat="1" applyFont="1" applyFill="1" applyBorder="1" applyAlignment="1">
      <alignment horizontal="left"/>
    </xf>
    <xf numFmtId="49" fontId="12" fillId="0" borderId="4" xfId="63" applyNumberFormat="1" applyFont="1" applyFill="1" applyBorder="1"/>
    <xf numFmtId="49" fontId="17" fillId="0" borderId="4" xfId="63" applyNumberFormat="1" applyFont="1" applyFill="1" applyBorder="1"/>
    <xf numFmtId="49" fontId="12" fillId="0" borderId="17" xfId="63" applyNumberFormat="1" applyFont="1" applyFill="1" applyBorder="1"/>
    <xf numFmtId="49" fontId="9" fillId="0" borderId="0" xfId="63" applyNumberFormat="1" applyFont="1"/>
    <xf numFmtId="0" fontId="9" fillId="0" borderId="0" xfId="63" applyFont="1" applyAlignment="1">
      <alignment horizontal="left"/>
    </xf>
    <xf numFmtId="0" fontId="9" fillId="0" borderId="0" xfId="63" applyFont="1" applyBorder="1"/>
    <xf numFmtId="0" fontId="9" fillId="0" borderId="4" xfId="63" applyFont="1" applyFill="1" applyBorder="1" applyAlignment="1">
      <alignment horizontal="center"/>
    </xf>
    <xf numFmtId="0" fontId="9" fillId="0" borderId="0" xfId="63" applyFont="1" applyFill="1" applyAlignment="1">
      <alignment horizontal="center"/>
    </xf>
    <xf numFmtId="167" fontId="9" fillId="0" borderId="0" xfId="63" applyNumberFormat="1" applyFont="1" applyFill="1" applyAlignment="1">
      <alignment horizontal="center"/>
    </xf>
    <xf numFmtId="0" fontId="9" fillId="0" borderId="0" xfId="0" applyFont="1" applyFill="1"/>
    <xf numFmtId="167" fontId="2" fillId="0" borderId="0" xfId="63" applyNumberFormat="1" applyFont="1" applyFill="1" applyAlignment="1">
      <alignment horizontal="center"/>
    </xf>
    <xf numFmtId="0" fontId="2" fillId="0" borderId="2" xfId="63" applyFont="1" applyFill="1" applyBorder="1" applyAlignment="1"/>
    <xf numFmtId="0" fontId="2" fillId="0" borderId="41" xfId="63" applyFont="1" applyFill="1" applyBorder="1" applyAlignment="1">
      <alignment horizontal="center"/>
    </xf>
    <xf numFmtId="0" fontId="2" fillId="0" borderId="4" xfId="63" applyFont="1" applyFill="1" applyBorder="1" applyAlignment="1"/>
    <xf numFmtId="0" fontId="2" fillId="3" borderId="12" xfId="63" applyFont="1" applyFill="1" applyBorder="1" applyAlignment="1">
      <alignment horizontal="center"/>
    </xf>
    <xf numFmtId="167" fontId="9" fillId="3" borderId="4" xfId="63" applyNumberFormat="1" applyFont="1" applyFill="1" applyBorder="1" applyAlignment="1">
      <alignment horizontal="center"/>
    </xf>
    <xf numFmtId="0" fontId="2" fillId="3" borderId="0" xfId="63" applyFont="1" applyFill="1" applyBorder="1" applyAlignment="1">
      <alignment horizontal="center"/>
    </xf>
    <xf numFmtId="0" fontId="20" fillId="3" borderId="0" xfId="63" applyFont="1" applyFill="1" applyBorder="1" applyAlignment="1">
      <alignment horizontal="center"/>
    </xf>
    <xf numFmtId="166" fontId="9" fillId="0" borderId="25" xfId="63" applyNumberFormat="1" applyFont="1" applyFill="1" applyBorder="1" applyAlignment="1">
      <alignment horizontal="center"/>
    </xf>
    <xf numFmtId="0" fontId="2" fillId="3" borderId="20" xfId="63" applyFont="1" applyFill="1" applyBorder="1" applyAlignment="1">
      <alignment horizontal="center"/>
    </xf>
    <xf numFmtId="9" fontId="2" fillId="3" borderId="19" xfId="63" applyNumberFormat="1" applyFont="1" applyFill="1" applyBorder="1" applyAlignment="1">
      <alignment horizontal="center"/>
    </xf>
    <xf numFmtId="168" fontId="2" fillId="3" borderId="20" xfId="63" applyNumberFormat="1" applyFont="1" applyFill="1" applyBorder="1" applyAlignment="1">
      <alignment horizontal="center"/>
    </xf>
    <xf numFmtId="9" fontId="2" fillId="3" borderId="44" xfId="63" applyNumberFormat="1" applyFont="1" applyFill="1" applyBorder="1" applyAlignment="1">
      <alignment horizontal="center"/>
    </xf>
    <xf numFmtId="168" fontId="2" fillId="0" borderId="18" xfId="63" applyNumberFormat="1" applyFont="1" applyFill="1" applyBorder="1" applyAlignment="1">
      <alignment horizontal="center"/>
    </xf>
    <xf numFmtId="0" fontId="9" fillId="0" borderId="17" xfId="63" applyFont="1" applyFill="1" applyBorder="1" applyAlignment="1">
      <alignment horizontal="center"/>
    </xf>
    <xf numFmtId="166" fontId="9" fillId="0" borderId="44" xfId="63" applyNumberFormat="1" applyFont="1" applyFill="1" applyBorder="1" applyAlignment="1">
      <alignment horizontal="center"/>
    </xf>
    <xf numFmtId="0" fontId="9" fillId="3" borderId="28" xfId="63" applyFont="1" applyFill="1" applyBorder="1" applyAlignment="1">
      <alignment horizontal="center"/>
    </xf>
    <xf numFmtId="0" fontId="9" fillId="3" borderId="6" xfId="63" applyFont="1" applyFill="1" applyBorder="1" applyAlignment="1">
      <alignment horizontal="center"/>
    </xf>
    <xf numFmtId="167" fontId="9" fillId="3" borderId="26" xfId="63" applyNumberFormat="1" applyFont="1" applyFill="1" applyBorder="1" applyAlignment="1">
      <alignment horizontal="center"/>
    </xf>
    <xf numFmtId="167" fontId="9" fillId="0" borderId="29" xfId="63" applyNumberFormat="1" applyFont="1" applyFill="1" applyBorder="1" applyAlignment="1">
      <alignment horizontal="center"/>
    </xf>
    <xf numFmtId="167" fontId="9" fillId="0" borderId="26" xfId="63" applyNumberFormat="1" applyFont="1" applyFill="1" applyBorder="1" applyAlignment="1">
      <alignment horizontal="center"/>
    </xf>
    <xf numFmtId="167" fontId="9" fillId="3" borderId="30" xfId="63" applyNumberFormat="1" applyFont="1" applyFill="1" applyBorder="1" applyAlignment="1">
      <alignment horizontal="center"/>
    </xf>
    <xf numFmtId="167" fontId="9" fillId="0" borderId="32" xfId="63" applyNumberFormat="1" applyFont="1" applyFill="1" applyBorder="1" applyAlignment="1">
      <alignment horizontal="center"/>
    </xf>
    <xf numFmtId="167" fontId="9" fillId="0" borderId="30" xfId="63" applyNumberFormat="1" applyFont="1" applyFill="1" applyBorder="1" applyAlignment="1">
      <alignment horizontal="center"/>
    </xf>
    <xf numFmtId="167" fontId="9" fillId="3" borderId="33" xfId="63" applyNumberFormat="1" applyFont="1" applyFill="1" applyBorder="1" applyAlignment="1">
      <alignment horizontal="center"/>
    </xf>
    <xf numFmtId="167" fontId="9" fillId="3" borderId="31" xfId="63" applyNumberFormat="1" applyFont="1" applyFill="1" applyBorder="1" applyAlignment="1">
      <alignment horizontal="center"/>
    </xf>
    <xf numFmtId="167" fontId="9" fillId="0" borderId="35" xfId="63" applyNumberFormat="1" applyFont="1" applyFill="1" applyBorder="1" applyAlignment="1">
      <alignment horizontal="center"/>
    </xf>
    <xf numFmtId="49" fontId="2" fillId="0" borderId="30" xfId="63" applyNumberFormat="1" applyFont="1" applyFill="1" applyBorder="1"/>
    <xf numFmtId="49" fontId="2" fillId="0" borderId="31" xfId="63" applyNumberFormat="1" applyFont="1" applyFill="1" applyBorder="1"/>
    <xf numFmtId="0" fontId="9" fillId="3" borderId="33" xfId="63" applyFont="1" applyFill="1" applyBorder="1" applyAlignment="1">
      <alignment horizontal="center"/>
    </xf>
    <xf numFmtId="0" fontId="9" fillId="3" borderId="31" xfId="63" applyFont="1" applyFill="1" applyBorder="1" applyAlignment="1">
      <alignment horizontal="center"/>
    </xf>
    <xf numFmtId="167" fontId="9" fillId="0" borderId="49" xfId="63" applyNumberFormat="1" applyFont="1" applyFill="1" applyBorder="1" applyAlignment="1">
      <alignment horizontal="center"/>
    </xf>
    <xf numFmtId="0" fontId="9" fillId="0" borderId="49" xfId="63" applyFont="1" applyFill="1" applyBorder="1" applyAlignment="1">
      <alignment horizontal="center"/>
    </xf>
    <xf numFmtId="49" fontId="9" fillId="0" borderId="0" xfId="63" applyNumberFormat="1" applyFont="1" applyFill="1" applyBorder="1" applyAlignment="1"/>
    <xf numFmtId="49" fontId="9" fillId="0" borderId="0" xfId="63" applyNumberFormat="1" applyFont="1" applyFill="1"/>
    <xf numFmtId="0" fontId="0" fillId="0" borderId="0" xfId="0" applyAlignment="1">
      <alignment horizontal="center"/>
    </xf>
    <xf numFmtId="0" fontId="0" fillId="0" borderId="17" xfId="0" applyBorder="1"/>
    <xf numFmtId="0" fontId="0" fillId="0" borderId="4" xfId="0" applyBorder="1"/>
    <xf numFmtId="0" fontId="4" fillId="0" borderId="0" xfId="0" applyFont="1" applyFill="1" applyBorder="1" applyAlignment="1" applyProtection="1">
      <alignment horizontal="left" vertical="center"/>
    </xf>
    <xf numFmtId="0" fontId="4" fillId="0" borderId="0" xfId="0" applyFont="1"/>
    <xf numFmtId="0" fontId="0" fillId="0" borderId="0" xfId="0" applyBorder="1" applyAlignment="1">
      <alignment horizontal="center"/>
    </xf>
    <xf numFmtId="0" fontId="9" fillId="0" borderId="0" xfId="0" applyFont="1" applyBorder="1" applyAlignment="1" applyProtection="1">
      <alignment horizontal="center" vertical="center"/>
    </xf>
    <xf numFmtId="0" fontId="17" fillId="0" borderId="0" xfId="0" applyFont="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2" fillId="0" borderId="48" xfId="0" applyFont="1" applyBorder="1" applyAlignment="1" applyProtection="1">
      <alignment vertical="center"/>
    </xf>
    <xf numFmtId="0" fontId="2" fillId="0" borderId="48" xfId="0" applyFont="1" applyBorder="1" applyAlignment="1" applyProtection="1">
      <alignment horizontal="center" vertical="center"/>
    </xf>
    <xf numFmtId="0" fontId="2" fillId="0" borderId="47" xfId="0" applyFont="1" applyBorder="1" applyAlignment="1" applyProtection="1">
      <alignment vertical="center"/>
    </xf>
    <xf numFmtId="1" fontId="2" fillId="0" borderId="3" xfId="0" applyNumberFormat="1" applyFont="1" applyBorder="1" applyAlignment="1" applyProtection="1">
      <alignment horizontal="center" vertical="center"/>
    </xf>
    <xf numFmtId="1" fontId="2" fillId="0" borderId="3" xfId="0" applyNumberFormat="1"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1" fontId="5" fillId="0" borderId="0"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39" xfId="0" applyFont="1" applyBorder="1" applyAlignment="1" applyProtection="1">
      <alignment vertical="center"/>
    </xf>
    <xf numFmtId="0" fontId="5" fillId="0" borderId="59" xfId="0" applyFont="1" applyFill="1" applyBorder="1" applyAlignment="1" applyProtection="1">
      <alignment vertical="center"/>
    </xf>
    <xf numFmtId="0" fontId="5" fillId="0" borderId="38" xfId="0" applyFont="1" applyBorder="1" applyAlignment="1" applyProtection="1">
      <alignment vertical="center"/>
    </xf>
    <xf numFmtId="0" fontId="5" fillId="0" borderId="60" xfId="0" applyFont="1" applyFill="1" applyBorder="1" applyAlignment="1" applyProtection="1">
      <alignment vertical="center"/>
    </xf>
    <xf numFmtId="0" fontId="2" fillId="4" borderId="12" xfId="0" applyFont="1" applyFill="1" applyBorder="1" applyAlignment="1" applyProtection="1">
      <alignment horizontal="center" vertical="center"/>
    </xf>
    <xf numFmtId="0" fontId="9" fillId="0" borderId="57" xfId="0" applyFont="1" applyBorder="1" applyAlignment="1">
      <alignment horizontal="center"/>
    </xf>
    <xf numFmtId="0" fontId="0" fillId="0" borderId="2" xfId="0" applyBorder="1"/>
    <xf numFmtId="0" fontId="9" fillId="0" borderId="0" xfId="0" applyFont="1" applyFill="1" applyBorder="1"/>
    <xf numFmtId="0" fontId="2" fillId="0" borderId="3" xfId="0" applyFont="1" applyBorder="1" applyAlignment="1" applyProtection="1">
      <alignment horizontal="center" vertical="center"/>
    </xf>
    <xf numFmtId="0" fontId="2" fillId="4" borderId="57" xfId="0" applyFont="1" applyFill="1" applyBorder="1" applyAlignment="1" applyProtection="1">
      <alignment horizontal="center" vertical="center"/>
    </xf>
    <xf numFmtId="0" fontId="9" fillId="0" borderId="1" xfId="0" applyFont="1" applyBorder="1" applyAlignment="1" applyProtection="1">
      <alignment vertical="center"/>
    </xf>
    <xf numFmtId="0" fontId="9" fillId="0" borderId="5" xfId="0" applyFont="1" applyBorder="1" applyAlignment="1" applyProtection="1">
      <alignment vertical="center"/>
    </xf>
    <xf numFmtId="0" fontId="9" fillId="0" borderId="11" xfId="0" applyFont="1" applyBorder="1" applyAlignment="1" applyProtection="1">
      <alignment horizontal="right" vertical="center"/>
    </xf>
    <xf numFmtId="0" fontId="4" fillId="0" borderId="0" xfId="0" applyFont="1" applyFill="1" applyBorder="1" applyAlignment="1" applyProtection="1">
      <alignment horizontal="center" vertical="center"/>
    </xf>
    <xf numFmtId="0" fontId="2" fillId="0" borderId="4" xfId="0" applyFont="1" applyFill="1" applyBorder="1" applyAlignment="1" applyProtection="1">
      <alignment vertical="center"/>
    </xf>
    <xf numFmtId="1" fontId="4" fillId="0" borderId="0" xfId="0" applyNumberFormat="1" applyFont="1" applyFill="1" applyBorder="1" applyAlignment="1" applyProtection="1">
      <alignment horizontal="center" vertical="center"/>
    </xf>
    <xf numFmtId="0" fontId="2" fillId="0" borderId="18" xfId="0" applyFont="1" applyBorder="1"/>
    <xf numFmtId="0" fontId="2" fillId="0" borderId="41" xfId="0" applyFont="1" applyBorder="1"/>
    <xf numFmtId="0" fontId="2" fillId="0" borderId="17" xfId="0" applyFont="1" applyBorder="1" applyAlignment="1">
      <alignment horizontal="center"/>
    </xf>
    <xf numFmtId="0" fontId="2" fillId="0" borderId="18" xfId="0" applyFont="1" applyBorder="1" applyAlignment="1">
      <alignment horizontal="center"/>
    </xf>
    <xf numFmtId="0" fontId="2" fillId="0" borderId="22" xfId="0" applyFont="1" applyBorder="1" applyAlignment="1">
      <alignment horizontal="center"/>
    </xf>
    <xf numFmtId="0" fontId="2" fillId="0" borderId="12" xfId="0" applyFont="1" applyFill="1" applyBorder="1" applyAlignment="1">
      <alignment horizontal="center"/>
    </xf>
    <xf numFmtId="49" fontId="0" fillId="0" borderId="0" xfId="0" applyNumberFormat="1" applyFill="1" applyBorder="1" applyAlignment="1" applyProtection="1">
      <alignment horizontal="left" vertical="center"/>
    </xf>
    <xf numFmtId="0" fontId="0" fillId="0" borderId="13" xfId="0" applyFill="1" applyBorder="1" applyAlignment="1" applyProtection="1">
      <alignment horizontal="center" vertical="center"/>
    </xf>
    <xf numFmtId="0" fontId="0" fillId="2" borderId="0" xfId="0" applyFill="1" applyBorder="1" applyAlignment="1" applyProtection="1">
      <alignment horizontal="center"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42" xfId="0" applyFont="1" applyBorder="1" applyAlignment="1">
      <alignment horizontal="center"/>
    </xf>
    <xf numFmtId="1" fontId="9" fillId="0" borderId="0" xfId="63" applyNumberFormat="1" applyFont="1" applyFill="1" applyBorder="1" applyAlignment="1">
      <alignment horizontal="center"/>
    </xf>
    <xf numFmtId="0" fontId="0" fillId="0" borderId="0" xfId="0" applyFill="1"/>
    <xf numFmtId="0" fontId="2" fillId="0" borderId="9" xfId="63" applyFont="1" applyFill="1" applyBorder="1" applyAlignment="1">
      <alignment horizontal="center"/>
    </xf>
    <xf numFmtId="0" fontId="2" fillId="0" borderId="16" xfId="63" applyFont="1" applyFill="1" applyBorder="1" applyAlignment="1">
      <alignment horizontal="center" vertical="center"/>
    </xf>
    <xf numFmtId="0" fontId="2" fillId="0" borderId="9" xfId="63" applyFont="1" applyFill="1" applyBorder="1" applyAlignment="1">
      <alignment horizontal="center" vertical="center"/>
    </xf>
    <xf numFmtId="167" fontId="9" fillId="3" borderId="6" xfId="63" applyNumberFormat="1" applyFont="1" applyFill="1" applyBorder="1" applyAlignment="1">
      <alignment horizontal="center"/>
    </xf>
    <xf numFmtId="167" fontId="7" fillId="40" borderId="12" xfId="63" applyNumberFormat="1" applyFont="1" applyFill="1" applyBorder="1" applyAlignment="1">
      <alignment horizontal="center"/>
    </xf>
    <xf numFmtId="0" fontId="2" fillId="0" borderId="0" xfId="0" applyFont="1" applyBorder="1" applyAlignment="1">
      <alignment horizontal="center"/>
    </xf>
    <xf numFmtId="0" fontId="5" fillId="0" borderId="33" xfId="0" applyFont="1" applyBorder="1" applyAlignment="1">
      <alignment horizontal="center" vertical="center"/>
    </xf>
    <xf numFmtId="0" fontId="30" fillId="0" borderId="0" xfId="43"/>
    <xf numFmtId="0" fontId="23" fillId="0" borderId="0" xfId="43" applyFont="1" applyFill="1" applyProtection="1"/>
    <xf numFmtId="0" fontId="23" fillId="0" borderId="0" xfId="43" applyFont="1" applyFill="1" applyBorder="1" applyAlignment="1" applyProtection="1">
      <alignment horizontal="center"/>
    </xf>
    <xf numFmtId="0" fontId="23" fillId="0" borderId="0" xfId="43" applyFont="1" applyAlignment="1" applyProtection="1">
      <alignment horizontal="left"/>
    </xf>
    <xf numFmtId="0" fontId="23" fillId="0" borderId="0" xfId="43" applyFont="1" applyFill="1" applyBorder="1" applyProtection="1"/>
    <xf numFmtId="1" fontId="23" fillId="0" borderId="0" xfId="43" applyNumberFormat="1" applyFont="1" applyFill="1" applyBorder="1" applyAlignment="1" applyProtection="1">
      <alignment horizontal="center"/>
    </xf>
    <xf numFmtId="0" fontId="13" fillId="0" borderId="0" xfId="43" applyFont="1" applyFill="1" applyBorder="1" applyAlignment="1" applyProtection="1">
      <alignment vertical="center"/>
    </xf>
    <xf numFmtId="0" fontId="23" fillId="0" borderId="0" xfId="43" applyNumberFormat="1" applyFont="1" applyBorder="1" applyAlignment="1" applyProtection="1">
      <alignment horizontal="center"/>
    </xf>
    <xf numFmtId="167" fontId="23" fillId="0" borderId="0" xfId="43" applyNumberFormat="1" applyFont="1" applyFill="1" applyBorder="1" applyAlignment="1" applyProtection="1">
      <alignment horizontal="center"/>
    </xf>
    <xf numFmtId="0" fontId="30" fillId="0" borderId="0" xfId="43" applyFill="1"/>
    <xf numFmtId="0" fontId="9" fillId="0" borderId="0" xfId="43" applyFont="1" applyFill="1" applyBorder="1" applyAlignment="1" applyProtection="1">
      <alignment horizontal="center"/>
    </xf>
    <xf numFmtId="1" fontId="9" fillId="0" borderId="0" xfId="0" applyNumberFormat="1" applyFont="1" applyFill="1" applyBorder="1" applyAlignment="1">
      <alignment horizontal="center" vertical="center"/>
    </xf>
    <xf numFmtId="1" fontId="9" fillId="0" borderId="0" xfId="43" applyNumberFormat="1" applyFont="1" applyFill="1" applyBorder="1" applyAlignment="1" applyProtection="1">
      <alignment horizontal="center"/>
    </xf>
    <xf numFmtId="0" fontId="0" fillId="2" borderId="31" xfId="0" applyFill="1" applyBorder="1" applyAlignment="1" applyProtection="1">
      <alignment vertical="center"/>
      <protection locked="0"/>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1" fontId="9" fillId="0" borderId="17" xfId="0" applyNumberFormat="1" applyFont="1" applyFill="1" applyBorder="1" applyAlignment="1" applyProtection="1">
      <alignment horizontal="center" vertical="center"/>
    </xf>
    <xf numFmtId="1" fontId="9" fillId="0" borderId="42" xfId="0" applyNumberFormat="1" applyFont="1" applyFill="1" applyBorder="1" applyAlignment="1" applyProtection="1">
      <alignment horizontal="center" vertical="center"/>
    </xf>
    <xf numFmtId="0" fontId="9" fillId="37" borderId="0" xfId="63" applyFont="1" applyFill="1" applyAlignment="1">
      <alignment horizontal="center"/>
    </xf>
    <xf numFmtId="0" fontId="0" fillId="0" borderId="0" xfId="0"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1" fontId="9"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12" fillId="0" borderId="0" xfId="0"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9" fillId="37" borderId="0" xfId="63" applyFont="1" applyFill="1" applyBorder="1" applyAlignment="1">
      <alignment horizontal="center"/>
    </xf>
    <xf numFmtId="0" fontId="13" fillId="0" borderId="0" xfId="0" applyFont="1" applyBorder="1" applyAlignment="1" applyProtection="1">
      <alignment horizontal="center" vertical="center"/>
      <protection hidden="1"/>
    </xf>
    <xf numFmtId="0" fontId="2" fillId="43" borderId="2" xfId="0" applyFont="1" applyFill="1" applyBorder="1" applyAlignment="1" applyProtection="1">
      <alignment vertical="center"/>
    </xf>
    <xf numFmtId="0" fontId="2" fillId="43" borderId="3" xfId="0" applyFont="1" applyFill="1" applyBorder="1" applyAlignment="1" applyProtection="1">
      <alignment vertical="center"/>
    </xf>
    <xf numFmtId="0" fontId="2" fillId="43" borderId="4" xfId="0" applyFont="1" applyFill="1" applyBorder="1" applyAlignment="1" applyProtection="1">
      <alignment vertical="center"/>
    </xf>
    <xf numFmtId="0" fontId="2" fillId="43" borderId="0" xfId="0" applyFont="1" applyFill="1" applyBorder="1" applyAlignment="1" applyProtection="1">
      <alignment vertical="center"/>
    </xf>
    <xf numFmtId="0" fontId="2" fillId="43" borderId="12" xfId="0" applyFont="1" applyFill="1" applyBorder="1" applyAlignment="1" applyProtection="1">
      <alignment horizontal="center" vertical="center" wrapText="1"/>
    </xf>
    <xf numFmtId="0" fontId="2" fillId="43" borderId="4" xfId="0" applyFont="1" applyFill="1" applyBorder="1" applyAlignment="1" applyProtection="1">
      <alignment horizontal="left" vertical="center"/>
    </xf>
    <xf numFmtId="0" fontId="9" fillId="43" borderId="0" xfId="0" applyFont="1" applyFill="1" applyBorder="1" applyAlignment="1" applyProtection="1">
      <alignment horizontal="left" vertical="center"/>
    </xf>
    <xf numFmtId="0" fontId="2" fillId="43" borderId="8" xfId="0" applyFont="1" applyFill="1" applyBorder="1" applyAlignment="1" applyProtection="1">
      <alignment horizontal="center" vertical="center"/>
    </xf>
    <xf numFmtId="0" fontId="9" fillId="43" borderId="12" xfId="0" applyFont="1" applyFill="1" applyBorder="1" applyAlignment="1" applyProtection="1">
      <alignment horizontal="center" vertical="center"/>
    </xf>
    <xf numFmtId="0" fontId="0" fillId="43" borderId="8" xfId="0" applyFill="1" applyBorder="1" applyAlignment="1" applyProtection="1">
      <alignment horizontal="center" vertical="center"/>
    </xf>
    <xf numFmtId="0" fontId="9" fillId="43" borderId="14" xfId="0" applyFont="1" applyFill="1" applyBorder="1" applyAlignment="1" applyProtection="1">
      <alignment horizontal="center" vertical="center"/>
    </xf>
    <xf numFmtId="0" fontId="5" fillId="43" borderId="13" xfId="0" applyFont="1" applyFill="1" applyBorder="1" applyAlignment="1" applyProtection="1">
      <alignment horizontal="center" vertical="center"/>
    </xf>
    <xf numFmtId="0" fontId="5" fillId="43" borderId="15" xfId="0" applyFont="1" applyFill="1" applyBorder="1" applyAlignment="1" applyProtection="1">
      <alignment horizontal="center" vertical="center"/>
    </xf>
    <xf numFmtId="0" fontId="5" fillId="43" borderId="0" xfId="0" applyFont="1" applyFill="1" applyBorder="1" applyAlignment="1" applyProtection="1">
      <alignment horizontal="center" vertical="center"/>
    </xf>
    <xf numFmtId="0" fontId="0" fillId="43" borderId="20" xfId="0" applyFill="1" applyBorder="1" applyAlignment="1" applyProtection="1">
      <alignment horizontal="center" vertical="center"/>
    </xf>
    <xf numFmtId="0" fontId="0" fillId="43" borderId="65" xfId="0" applyFill="1" applyBorder="1" applyAlignment="1" applyProtection="1">
      <alignment horizontal="center" vertical="center"/>
    </xf>
    <xf numFmtId="0" fontId="5" fillId="43" borderId="56" xfId="0" applyFont="1" applyFill="1" applyBorder="1" applyAlignment="1" applyProtection="1">
      <alignment horizontal="center" vertical="center"/>
    </xf>
    <xf numFmtId="0" fontId="9" fillId="43" borderId="66" xfId="0" applyFont="1" applyFill="1" applyBorder="1" applyAlignment="1">
      <alignment horizontal="center" vertical="center"/>
    </xf>
    <xf numFmtId="0" fontId="9" fillId="43" borderId="18" xfId="0" applyFont="1" applyFill="1" applyBorder="1" applyAlignment="1">
      <alignment horizontal="center" vertical="center"/>
    </xf>
    <xf numFmtId="0" fontId="9" fillId="43" borderId="42" xfId="0" applyFont="1" applyFill="1" applyBorder="1" applyAlignment="1" applyProtection="1">
      <alignment horizontal="center" vertical="center"/>
    </xf>
    <xf numFmtId="0" fontId="2" fillId="43" borderId="1" xfId="0" applyFont="1" applyFill="1" applyBorder="1" applyAlignment="1" applyProtection="1">
      <alignment vertical="center"/>
    </xf>
    <xf numFmtId="0" fontId="12" fillId="43" borderId="5" xfId="0" applyFont="1" applyFill="1" applyBorder="1" applyAlignment="1" applyProtection="1">
      <alignment vertical="center"/>
    </xf>
    <xf numFmtId="0" fontId="12" fillId="43" borderId="5" xfId="0" applyFont="1" applyFill="1" applyBorder="1" applyAlignment="1" applyProtection="1">
      <alignment horizontal="center" vertical="center"/>
    </xf>
    <xf numFmtId="0" fontId="2" fillId="44" borderId="64" xfId="0" applyFont="1" applyFill="1" applyBorder="1" applyAlignment="1" applyProtection="1">
      <alignment horizontal="center" vertical="center"/>
    </xf>
    <xf numFmtId="0" fontId="4" fillId="43" borderId="1" xfId="0" applyFont="1" applyFill="1" applyBorder="1" applyAlignment="1" applyProtection="1">
      <alignment vertical="center"/>
    </xf>
    <xf numFmtId="0" fontId="4" fillId="43" borderId="5" xfId="0" applyFont="1" applyFill="1" applyBorder="1" applyAlignment="1" applyProtection="1">
      <alignment vertical="center"/>
    </xf>
    <xf numFmtId="0" fontId="4" fillId="43" borderId="5" xfId="0" applyFont="1" applyFill="1" applyBorder="1" applyAlignment="1" applyProtection="1">
      <alignment horizontal="center" vertical="center"/>
    </xf>
    <xf numFmtId="0" fontId="2" fillId="44" borderId="45" xfId="0" applyFont="1" applyFill="1" applyBorder="1" applyAlignment="1" applyProtection="1">
      <alignment horizontal="center" vertical="center"/>
    </xf>
    <xf numFmtId="0" fontId="2" fillId="44" borderId="42" xfId="0" applyFont="1" applyFill="1" applyBorder="1" applyAlignment="1" applyProtection="1">
      <alignment horizontal="center" vertical="center"/>
    </xf>
    <xf numFmtId="0" fontId="2" fillId="2" borderId="70" xfId="0" applyFont="1" applyFill="1" applyBorder="1" applyAlignment="1" applyProtection="1">
      <alignment horizontal="center" vertical="center"/>
      <protection locked="0"/>
    </xf>
    <xf numFmtId="0" fontId="2" fillId="2" borderId="71" xfId="0" applyFont="1" applyFill="1" applyBorder="1" applyAlignment="1" applyProtection="1">
      <alignment horizontal="center" vertical="center"/>
      <protection locked="0"/>
    </xf>
    <xf numFmtId="0" fontId="2" fillId="2" borderId="72" xfId="0" applyFont="1" applyFill="1" applyBorder="1" applyAlignment="1" applyProtection="1">
      <alignment horizontal="center" vertical="center"/>
      <protection locked="0"/>
    </xf>
    <xf numFmtId="1" fontId="2" fillId="2" borderId="73" xfId="0" applyNumberFormat="1" applyFont="1" applyFill="1" applyBorder="1" applyAlignment="1" applyProtection="1">
      <alignment horizontal="center" vertical="center"/>
      <protection locked="0"/>
    </xf>
    <xf numFmtId="1" fontId="2" fillId="2" borderId="74" xfId="0" applyNumberFormat="1" applyFont="1" applyFill="1" applyBorder="1" applyAlignment="1" applyProtection="1">
      <alignment horizontal="center" vertical="center"/>
      <protection locked="0"/>
    </xf>
    <xf numFmtId="1" fontId="2" fillId="2" borderId="75" xfId="0" applyNumberFormat="1" applyFont="1" applyFill="1" applyBorder="1" applyAlignment="1" applyProtection="1">
      <alignment horizontal="center" vertical="center"/>
      <protection locked="0"/>
    </xf>
    <xf numFmtId="1" fontId="2" fillId="2" borderId="67" xfId="0" applyNumberFormat="1" applyFont="1" applyFill="1" applyBorder="1" applyAlignment="1" applyProtection="1">
      <alignment horizontal="center" vertical="center"/>
      <protection locked="0"/>
    </xf>
    <xf numFmtId="1" fontId="2" fillId="2" borderId="68" xfId="0" applyNumberFormat="1" applyFont="1" applyFill="1" applyBorder="1" applyAlignment="1" applyProtection="1">
      <alignment horizontal="center" vertical="center"/>
      <protection locked="0"/>
    </xf>
    <xf numFmtId="1" fontId="2" fillId="2" borderId="69" xfId="0" applyNumberFormat="1" applyFont="1" applyFill="1" applyBorder="1" applyAlignment="1" applyProtection="1">
      <alignment horizontal="center" vertical="center"/>
      <protection locked="0"/>
    </xf>
    <xf numFmtId="0" fontId="2" fillId="4" borderId="68" xfId="0" applyFont="1" applyFill="1" applyBorder="1" applyAlignment="1" applyProtection="1">
      <alignment horizontal="center" vertical="center"/>
    </xf>
    <xf numFmtId="1" fontId="2" fillId="36" borderId="68" xfId="0" applyNumberFormat="1" applyFont="1" applyFill="1" applyBorder="1" applyAlignment="1" applyProtection="1">
      <alignment horizontal="center" vertical="center"/>
      <protection locked="0"/>
    </xf>
    <xf numFmtId="0" fontId="2" fillId="43" borderId="24" xfId="0" applyFont="1" applyFill="1" applyBorder="1" applyAlignment="1" applyProtection="1">
      <alignment horizontal="center" vertical="center"/>
    </xf>
    <xf numFmtId="0" fontId="2" fillId="43" borderId="9" xfId="0" applyFont="1" applyFill="1" applyBorder="1" applyAlignment="1" applyProtection="1">
      <alignment horizontal="center" vertical="center"/>
    </xf>
    <xf numFmtId="0" fontId="13" fillId="42" borderId="1" xfId="0" applyFont="1" applyFill="1" applyBorder="1" applyAlignment="1" applyProtection="1">
      <alignment vertical="center"/>
    </xf>
    <xf numFmtId="0" fontId="13" fillId="42" borderId="5" xfId="0" applyFont="1" applyFill="1" applyBorder="1" applyAlignment="1" applyProtection="1">
      <alignment vertical="center"/>
    </xf>
    <xf numFmtId="0" fontId="13" fillId="42" borderId="11" xfId="0" applyFont="1" applyFill="1" applyBorder="1" applyAlignment="1" applyProtection="1">
      <alignment vertical="center"/>
    </xf>
    <xf numFmtId="0" fontId="9" fillId="42" borderId="5" xfId="0" applyFont="1" applyFill="1" applyBorder="1" applyAlignment="1" applyProtection="1">
      <alignment horizontal="center" vertical="center"/>
    </xf>
    <xf numFmtId="0" fontId="2" fillId="42" borderId="11" xfId="0" applyFont="1" applyFill="1" applyBorder="1" applyAlignment="1" applyProtection="1">
      <alignment horizontal="center" vertical="center"/>
    </xf>
    <xf numFmtId="0" fontId="2" fillId="44" borderId="87" xfId="0" applyFont="1" applyFill="1" applyBorder="1" applyAlignment="1" applyProtection="1">
      <alignment horizontal="center" vertical="center"/>
    </xf>
    <xf numFmtId="0" fontId="2" fillId="44" borderId="57" xfId="0" applyFont="1" applyFill="1" applyBorder="1" applyAlignment="1" applyProtection="1">
      <alignment horizontal="center" vertical="center"/>
    </xf>
    <xf numFmtId="0" fontId="4" fillId="42" borderId="1" xfId="0" applyFont="1" applyFill="1" applyBorder="1" applyAlignment="1" applyProtection="1">
      <alignment vertical="center"/>
    </xf>
    <xf numFmtId="0" fontId="0" fillId="42" borderId="5" xfId="0" applyFill="1" applyBorder="1" applyAlignment="1" applyProtection="1">
      <alignment vertical="center"/>
    </xf>
    <xf numFmtId="0" fontId="0" fillId="42" borderId="5" xfId="0" applyFill="1" applyBorder="1" applyAlignment="1" applyProtection="1">
      <alignment horizontal="center" vertical="center"/>
    </xf>
    <xf numFmtId="0" fontId="2" fillId="42" borderId="57" xfId="0" applyFont="1" applyFill="1" applyBorder="1" applyAlignment="1" applyProtection="1">
      <alignment horizontal="center" vertical="center" wrapText="1"/>
    </xf>
    <xf numFmtId="0" fontId="2" fillId="42" borderId="5" xfId="0" applyFont="1" applyFill="1" applyBorder="1" applyAlignment="1" applyProtection="1">
      <alignment vertical="center"/>
    </xf>
    <xf numFmtId="0" fontId="2" fillId="2" borderId="88" xfId="0" applyFont="1" applyFill="1" applyBorder="1" applyAlignment="1" applyProtection="1">
      <alignment horizontal="center" vertical="center"/>
      <protection locked="0"/>
    </xf>
    <xf numFmtId="0" fontId="2" fillId="2" borderId="89"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protection locked="0"/>
    </xf>
    <xf numFmtId="0" fontId="2" fillId="4" borderId="73" xfId="0" applyFont="1" applyFill="1" applyBorder="1" applyAlignment="1" applyProtection="1">
      <alignment horizontal="center" vertical="center"/>
    </xf>
    <xf numFmtId="0" fontId="2" fillId="4" borderId="74" xfId="0" applyFont="1" applyFill="1" applyBorder="1" applyAlignment="1" applyProtection="1">
      <alignment horizontal="center" vertical="center"/>
    </xf>
    <xf numFmtId="0" fontId="2" fillId="4" borderId="75" xfId="0" applyFont="1" applyFill="1" applyBorder="1" applyAlignment="1" applyProtection="1">
      <alignment horizontal="center" vertical="center"/>
    </xf>
    <xf numFmtId="0" fontId="9" fillId="0" borderId="0" xfId="0" applyFont="1" applyAlignment="1" applyProtection="1">
      <alignment vertical="center"/>
    </xf>
    <xf numFmtId="0" fontId="4" fillId="43" borderId="11" xfId="0" applyFont="1" applyFill="1" applyBorder="1" applyAlignment="1" applyProtection="1">
      <alignment horizontal="center" vertical="center"/>
    </xf>
    <xf numFmtId="0" fontId="2" fillId="2" borderId="80" xfId="0" applyFont="1" applyFill="1" applyBorder="1" applyAlignment="1" applyProtection="1">
      <alignment horizontal="center" vertical="center"/>
      <protection locked="0"/>
    </xf>
    <xf numFmtId="0" fontId="2" fillId="0" borderId="83" xfId="0" applyFont="1" applyBorder="1" applyAlignment="1" applyProtection="1">
      <alignment horizontal="center" vertical="center"/>
    </xf>
    <xf numFmtId="0" fontId="2" fillId="2" borderId="76" xfId="0" applyFont="1" applyFill="1" applyBorder="1" applyAlignment="1" applyProtection="1">
      <alignment horizontal="center" vertical="center"/>
      <protection locked="0"/>
    </xf>
    <xf numFmtId="0" fontId="2" fillId="0" borderId="84" xfId="0" applyFont="1" applyBorder="1" applyAlignment="1" applyProtection="1">
      <alignment horizontal="center" vertical="center"/>
    </xf>
    <xf numFmtId="1" fontId="2" fillId="4" borderId="91" xfId="0" applyNumberFormat="1" applyFont="1" applyFill="1" applyBorder="1" applyAlignment="1" applyProtection="1">
      <alignment horizontal="center" vertical="center"/>
    </xf>
    <xf numFmtId="0" fontId="2" fillId="4" borderId="91" xfId="0" applyFont="1" applyFill="1" applyBorder="1" applyAlignment="1" applyProtection="1">
      <alignment horizontal="center" vertical="center"/>
    </xf>
    <xf numFmtId="0" fontId="9" fillId="2" borderId="92" xfId="0"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2" borderId="94" xfId="0" applyFont="1" applyFill="1" applyBorder="1" applyAlignment="1" applyProtection="1">
      <alignment horizontal="center" vertical="center"/>
      <protection locked="0"/>
    </xf>
    <xf numFmtId="0" fontId="2" fillId="0" borderId="95" xfId="0" applyFont="1" applyBorder="1" applyAlignment="1">
      <alignment horizontal="center"/>
    </xf>
    <xf numFmtId="0" fontId="2" fillId="0" borderId="96" xfId="0" applyFont="1" applyBorder="1" applyAlignment="1">
      <alignment horizontal="center"/>
    </xf>
    <xf numFmtId="49" fontId="2" fillId="37" borderId="0" xfId="63" applyNumberFormat="1" applyFont="1" applyFill="1"/>
    <xf numFmtId="0" fontId="2" fillId="36" borderId="84" xfId="0" applyFont="1" applyFill="1" applyBorder="1" applyAlignment="1" applyProtection="1">
      <alignment horizontal="center" vertical="center"/>
      <protection locked="0"/>
    </xf>
    <xf numFmtId="1" fontId="2" fillId="0" borderId="86" xfId="0" applyNumberFormat="1" applyFont="1" applyFill="1" applyBorder="1" applyAlignment="1" applyProtection="1">
      <alignment horizontal="center" vertical="center"/>
      <protection hidden="1"/>
    </xf>
    <xf numFmtId="0" fontId="2" fillId="2" borderId="81"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2" borderId="78" xfId="0" applyFont="1" applyFill="1" applyBorder="1" applyAlignment="1" applyProtection="1">
      <alignment horizontal="center" vertical="center"/>
      <protection locked="0"/>
    </xf>
    <xf numFmtId="0" fontId="2" fillId="2" borderId="83" xfId="0" applyFont="1" applyFill="1" applyBorder="1" applyAlignment="1" applyProtection="1">
      <alignment horizontal="center" vertical="center"/>
      <protection locked="0"/>
    </xf>
    <xf numFmtId="0" fontId="2" fillId="2" borderId="85" xfId="0" applyFont="1" applyFill="1" applyBorder="1" applyAlignment="1" applyProtection="1">
      <alignment horizontal="center" vertical="center"/>
      <protection locked="0"/>
    </xf>
    <xf numFmtId="0" fontId="2" fillId="2" borderId="77"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0" borderId="0" xfId="0" applyFont="1" applyFill="1" applyAlignment="1" applyProtection="1">
      <alignment vertical="center"/>
      <protection hidden="1"/>
    </xf>
    <xf numFmtId="0" fontId="9" fillId="0" borderId="0" xfId="0" applyFont="1" applyFill="1" applyAlignment="1" applyProtection="1">
      <alignment horizontal="center" vertical="center"/>
    </xf>
    <xf numFmtId="0" fontId="0" fillId="0" borderId="0" xfId="0" applyFill="1" applyAlignment="1">
      <alignment vertical="center"/>
    </xf>
    <xf numFmtId="0" fontId="0" fillId="0" borderId="0" xfId="0" applyFill="1" applyAlignment="1" applyProtection="1">
      <alignment vertical="center"/>
      <protection hidden="1"/>
    </xf>
    <xf numFmtId="0" fontId="9" fillId="0" borderId="4"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5"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0" fillId="0" borderId="0" xfId="0" applyFont="1"/>
    <xf numFmtId="0" fontId="50" fillId="0" borderId="0" xfId="0" applyFont="1" applyAlignment="1">
      <alignment horizontal="center"/>
    </xf>
    <xf numFmtId="0" fontId="2" fillId="0" borderId="1" xfId="0" applyFont="1" applyBorder="1" applyAlignment="1">
      <alignment horizontal="center"/>
    </xf>
    <xf numFmtId="0" fontId="2" fillId="0" borderId="57" xfId="0" applyFont="1" applyBorder="1" applyAlignment="1">
      <alignment horizontal="center"/>
    </xf>
    <xf numFmtId="0" fontId="0" fillId="0" borderId="0" xfId="0" applyProtection="1"/>
    <xf numFmtId="0" fontId="30" fillId="0" borderId="0" xfId="43" applyProtection="1"/>
    <xf numFmtId="167" fontId="9" fillId="2" borderId="67" xfId="0" applyNumberFormat="1" applyFont="1" applyFill="1" applyBorder="1" applyAlignment="1" applyProtection="1">
      <alignment horizontal="center" vertical="center"/>
      <protection locked="0"/>
    </xf>
    <xf numFmtId="167" fontId="9" fillId="36" borderId="97" xfId="0" applyNumberFormat="1" applyFont="1" applyFill="1" applyBorder="1" applyAlignment="1" applyProtection="1">
      <alignment horizontal="center" vertical="center"/>
      <protection locked="0"/>
    </xf>
    <xf numFmtId="167" fontId="9" fillId="2" borderId="70" xfId="0" applyNumberFormat="1" applyFont="1" applyFill="1" applyBorder="1" applyAlignment="1" applyProtection="1">
      <alignment horizontal="center" vertical="center"/>
      <protection locked="0"/>
    </xf>
    <xf numFmtId="167" fontId="0" fillId="2" borderId="98" xfId="0" applyNumberFormat="1" applyFill="1" applyBorder="1" applyAlignment="1" applyProtection="1">
      <alignment horizontal="center" vertical="center"/>
      <protection locked="0"/>
    </xf>
    <xf numFmtId="167" fontId="0" fillId="2" borderId="99" xfId="0" applyNumberFormat="1" applyFill="1" applyBorder="1" applyAlignment="1" applyProtection="1">
      <alignment horizontal="center" vertical="center"/>
      <protection locked="0"/>
    </xf>
    <xf numFmtId="167" fontId="0" fillId="2" borderId="97" xfId="0" applyNumberFormat="1" applyFill="1" applyBorder="1" applyAlignment="1" applyProtection="1">
      <alignment horizontal="center" vertical="center"/>
      <protection locked="0"/>
    </xf>
    <xf numFmtId="167" fontId="0" fillId="2" borderId="70" xfId="0" applyNumberFormat="1" applyFill="1" applyBorder="1" applyAlignment="1" applyProtection="1">
      <alignment horizontal="center" vertical="center"/>
      <protection locked="0"/>
    </xf>
    <xf numFmtId="167" fontId="0" fillId="2" borderId="73" xfId="0" applyNumberFormat="1" applyFill="1" applyBorder="1" applyAlignment="1" applyProtection="1">
      <alignment horizontal="center" vertical="center"/>
      <protection locked="0"/>
    </xf>
    <xf numFmtId="167" fontId="0" fillId="2" borderId="67" xfId="0" applyNumberFormat="1" applyFill="1" applyBorder="1" applyAlignment="1" applyProtection="1">
      <alignment horizontal="center" vertical="center"/>
      <protection locked="0"/>
    </xf>
    <xf numFmtId="167" fontId="9" fillId="2" borderId="68" xfId="0" applyNumberFormat="1" applyFont="1" applyFill="1" applyBorder="1" applyAlignment="1" applyProtection="1">
      <alignment horizontal="center" vertical="center"/>
      <protection locked="0"/>
    </xf>
    <xf numFmtId="167" fontId="9" fillId="36" borderId="100" xfId="0" applyNumberFormat="1" applyFont="1" applyFill="1" applyBorder="1" applyAlignment="1" applyProtection="1">
      <alignment horizontal="center" vertical="center"/>
      <protection locked="0"/>
    </xf>
    <xf numFmtId="167" fontId="9" fillId="2" borderId="71" xfId="0" applyNumberFormat="1" applyFont="1" applyFill="1" applyBorder="1" applyAlignment="1" applyProtection="1">
      <alignment horizontal="center" vertical="center"/>
      <protection locked="0"/>
    </xf>
    <xf numFmtId="167" fontId="0" fillId="2" borderId="101" xfId="0" applyNumberFormat="1" applyFill="1" applyBorder="1" applyAlignment="1" applyProtection="1">
      <alignment horizontal="center" vertical="center"/>
      <protection locked="0"/>
    </xf>
    <xf numFmtId="167" fontId="9" fillId="2" borderId="84" xfId="0" applyNumberFormat="1" applyFont="1" applyFill="1" applyBorder="1" applyAlignment="1" applyProtection="1">
      <alignment horizontal="center" vertical="center"/>
      <protection locked="0"/>
    </xf>
    <xf numFmtId="167" fontId="0" fillId="2" borderId="100" xfId="0" applyNumberFormat="1" applyFill="1" applyBorder="1" applyAlignment="1" applyProtection="1">
      <alignment horizontal="center" vertical="center"/>
      <protection locked="0"/>
    </xf>
    <xf numFmtId="167" fontId="0" fillId="2" borderId="71" xfId="0" applyNumberFormat="1" applyFill="1" applyBorder="1" applyAlignment="1" applyProtection="1">
      <alignment horizontal="center" vertical="center"/>
      <protection locked="0"/>
    </xf>
    <xf numFmtId="167" fontId="0" fillId="2" borderId="74" xfId="0" applyNumberFormat="1" applyFill="1" applyBorder="1" applyAlignment="1" applyProtection="1">
      <alignment horizontal="center" vertical="center"/>
      <protection locked="0"/>
    </xf>
    <xf numFmtId="167" fontId="0" fillId="2" borderId="68" xfId="0" applyNumberFormat="1" applyFill="1" applyBorder="1" applyAlignment="1" applyProtection="1">
      <alignment horizontal="center" vertical="center"/>
      <protection locked="0"/>
    </xf>
    <xf numFmtId="167" fontId="9" fillId="2" borderId="69" xfId="0" applyNumberFormat="1" applyFont="1" applyFill="1" applyBorder="1" applyAlignment="1" applyProtection="1">
      <alignment horizontal="center" vertical="center"/>
      <protection locked="0"/>
    </xf>
    <xf numFmtId="167" fontId="9" fillId="36" borderId="102" xfId="0" applyNumberFormat="1" applyFont="1" applyFill="1" applyBorder="1" applyAlignment="1" applyProtection="1">
      <alignment horizontal="center" vertical="center"/>
      <protection locked="0"/>
    </xf>
    <xf numFmtId="167" fontId="9" fillId="2" borderId="72" xfId="0" applyNumberFormat="1" applyFont="1" applyFill="1" applyBorder="1" applyAlignment="1" applyProtection="1">
      <alignment horizontal="center" vertical="center"/>
      <protection locked="0"/>
    </xf>
    <xf numFmtId="167" fontId="0" fillId="2" borderId="103" xfId="0" applyNumberFormat="1" applyFill="1" applyBorder="1" applyAlignment="1" applyProtection="1">
      <alignment horizontal="center" vertical="center"/>
      <protection locked="0"/>
    </xf>
    <xf numFmtId="167" fontId="0" fillId="2" borderId="104" xfId="0" applyNumberFormat="1" applyFill="1" applyBorder="1" applyAlignment="1" applyProtection="1">
      <alignment horizontal="center" vertical="center"/>
      <protection locked="0"/>
    </xf>
    <xf numFmtId="167" fontId="0" fillId="2" borderId="102" xfId="0" applyNumberFormat="1" applyFill="1" applyBorder="1" applyAlignment="1" applyProtection="1">
      <alignment horizontal="center" vertical="center"/>
      <protection locked="0"/>
    </xf>
    <xf numFmtId="167" fontId="0" fillId="2" borderId="72" xfId="0" applyNumberFormat="1" applyFill="1" applyBorder="1" applyAlignment="1" applyProtection="1">
      <alignment horizontal="center" vertical="center"/>
      <protection locked="0"/>
    </xf>
    <xf numFmtId="167" fontId="0" fillId="2" borderId="75" xfId="0" applyNumberFormat="1" applyFill="1" applyBorder="1" applyAlignment="1" applyProtection="1">
      <alignment horizontal="center" vertical="center"/>
      <protection locked="0"/>
    </xf>
    <xf numFmtId="167" fontId="0" fillId="2" borderId="69" xfId="0" applyNumberFormat="1" applyFill="1" applyBorder="1" applyAlignment="1" applyProtection="1">
      <alignment horizontal="center" vertical="center"/>
      <protection locked="0"/>
    </xf>
    <xf numFmtId="0" fontId="4" fillId="38" borderId="1" xfId="0" applyFont="1" applyFill="1" applyBorder="1" applyAlignment="1" applyProtection="1">
      <alignment vertical="center"/>
    </xf>
    <xf numFmtId="0" fontId="4" fillId="38" borderId="5" xfId="0" applyFont="1" applyFill="1" applyBorder="1" applyAlignment="1" applyProtection="1">
      <alignment vertical="center"/>
    </xf>
    <xf numFmtId="0" fontId="4" fillId="38" borderId="5" xfId="0" applyFont="1" applyFill="1" applyBorder="1" applyAlignment="1" applyProtection="1">
      <alignment horizontal="center" vertical="center"/>
    </xf>
    <xf numFmtId="0" fontId="9" fillId="0" borderId="0" xfId="43" applyFont="1" applyFill="1" applyBorder="1" applyAlignment="1" applyProtection="1"/>
    <xf numFmtId="0" fontId="51" fillId="0" borderId="0" xfId="43" applyFont="1" applyFill="1" applyAlignment="1">
      <alignment vertical="center"/>
    </xf>
    <xf numFmtId="0" fontId="9" fillId="0" borderId="28" xfId="43" applyFont="1" applyBorder="1" applyAlignment="1" applyProtection="1">
      <alignment horizontal="center" vertical="center"/>
    </xf>
    <xf numFmtId="0" fontId="0" fillId="0" borderId="41" xfId="0" applyBorder="1" applyAlignment="1" applyProtection="1">
      <alignment horizontal="center" vertical="center"/>
    </xf>
    <xf numFmtId="0" fontId="9" fillId="0" borderId="105" xfId="43" applyFont="1" applyBorder="1" applyAlignment="1" applyProtection="1">
      <alignment horizontal="center" vertical="center"/>
    </xf>
    <xf numFmtId="0" fontId="9" fillId="0" borderId="106" xfId="43" applyFont="1" applyBorder="1" applyAlignment="1" applyProtection="1">
      <alignment horizontal="center" vertical="center"/>
    </xf>
    <xf numFmtId="0" fontId="9" fillId="0" borderId="3" xfId="43" applyFont="1" applyBorder="1" applyAlignment="1" applyProtection="1">
      <alignment horizontal="center" vertical="center"/>
    </xf>
    <xf numFmtId="0" fontId="9" fillId="0" borderId="16" xfId="43" applyFont="1" applyBorder="1" applyAlignment="1" applyProtection="1">
      <alignment horizontal="center" vertical="center"/>
    </xf>
    <xf numFmtId="0" fontId="9" fillId="0" borderId="47" xfId="43" applyFont="1" applyFill="1" applyBorder="1" applyAlignment="1" applyProtection="1">
      <alignment vertical="center"/>
    </xf>
    <xf numFmtId="0" fontId="9" fillId="0" borderId="17" xfId="43" applyFont="1" applyFill="1" applyBorder="1" applyAlignment="1" applyProtection="1">
      <alignment vertical="center"/>
    </xf>
    <xf numFmtId="0" fontId="9" fillId="0" borderId="48" xfId="43" applyFont="1" applyFill="1" applyBorder="1" applyAlignment="1" applyProtection="1">
      <alignment vertical="center"/>
    </xf>
    <xf numFmtId="0" fontId="2" fillId="36" borderId="108" xfId="0" applyFont="1" applyFill="1" applyBorder="1" applyAlignment="1" applyProtection="1">
      <alignment horizontal="center" vertical="center"/>
      <protection locked="0"/>
    </xf>
    <xf numFmtId="0" fontId="2" fillId="36" borderId="63" xfId="43" applyFont="1" applyFill="1" applyBorder="1" applyAlignment="1" applyProtection="1">
      <alignment horizontal="center"/>
      <protection locked="0"/>
    </xf>
    <xf numFmtId="0" fontId="5" fillId="0" borderId="1" xfId="0" applyFont="1" applyBorder="1" applyAlignment="1" applyProtection="1">
      <alignment vertical="center"/>
    </xf>
    <xf numFmtId="0" fontId="5" fillId="0" borderId="5" xfId="0" applyFont="1" applyBorder="1" applyAlignment="1" applyProtection="1">
      <alignment vertical="center"/>
    </xf>
    <xf numFmtId="0" fontId="5" fillId="0" borderId="5" xfId="0" applyFont="1" applyBorder="1" applyAlignment="1" applyProtection="1">
      <alignment horizontal="center" vertical="center"/>
    </xf>
    <xf numFmtId="0" fontId="5" fillId="0" borderId="1" xfId="0" applyFont="1" applyFill="1" applyBorder="1" applyAlignment="1" applyProtection="1">
      <alignment vertical="center"/>
    </xf>
    <xf numFmtId="1" fontId="2" fillId="0" borderId="68" xfId="0" applyNumberFormat="1" applyFont="1" applyBorder="1" applyAlignment="1" applyProtection="1">
      <alignment horizontal="center" vertical="center"/>
      <protection hidden="1"/>
    </xf>
    <xf numFmtId="1" fontId="2" fillId="0" borderId="57" xfId="0" applyNumberFormat="1" applyFont="1" applyFill="1" applyBorder="1" applyAlignment="1" applyProtection="1">
      <alignment horizontal="center" vertical="center"/>
      <protection hidden="1"/>
    </xf>
    <xf numFmtId="2" fontId="5" fillId="0" borderId="7" xfId="0" applyNumberFormat="1" applyFont="1" applyFill="1" applyBorder="1" applyAlignment="1" applyProtection="1">
      <alignment horizontal="center" vertical="center"/>
      <protection hidden="1"/>
    </xf>
    <xf numFmtId="2" fontId="5" fillId="0" borderId="39" xfId="0" applyNumberFormat="1" applyFont="1" applyBorder="1" applyAlignment="1" applyProtection="1">
      <alignment horizontal="center" vertical="center"/>
      <protection hidden="1"/>
    </xf>
    <xf numFmtId="2" fontId="5" fillId="0" borderId="28" xfId="0" applyNumberFormat="1" applyFont="1" applyFill="1" applyBorder="1" applyAlignment="1" applyProtection="1">
      <alignment horizontal="center" vertical="center"/>
      <protection hidden="1"/>
    </xf>
    <xf numFmtId="0" fontId="9" fillId="0" borderId="1" xfId="43" applyNumberFormat="1" applyFont="1" applyBorder="1" applyAlignment="1" applyProtection="1">
      <alignment horizontal="center"/>
      <protection hidden="1"/>
    </xf>
    <xf numFmtId="2" fontId="9" fillId="43" borderId="36" xfId="43" applyNumberFormat="1" applyFont="1" applyFill="1" applyBorder="1" applyAlignment="1" applyProtection="1">
      <alignment horizontal="center" vertical="center"/>
      <protection hidden="1"/>
    </xf>
    <xf numFmtId="2" fontId="9" fillId="43" borderId="37" xfId="43" applyNumberFormat="1" applyFont="1" applyFill="1" applyBorder="1" applyAlignment="1" applyProtection="1">
      <alignment horizontal="center" vertical="center"/>
      <protection hidden="1"/>
    </xf>
    <xf numFmtId="2" fontId="9" fillId="43" borderId="110" xfId="43" applyNumberFormat="1" applyFont="1" applyFill="1" applyBorder="1" applyAlignment="1" applyProtection="1">
      <alignment horizontal="center" vertical="center"/>
      <protection hidden="1"/>
    </xf>
    <xf numFmtId="1" fontId="9" fillId="0" borderId="52" xfId="43" applyNumberFormat="1" applyFont="1" applyFill="1" applyBorder="1" applyAlignment="1" applyProtection="1">
      <alignment horizontal="center" vertical="center"/>
      <protection hidden="1"/>
    </xf>
    <xf numFmtId="2" fontId="9" fillId="0" borderId="44" xfId="43" applyNumberFormat="1" applyFont="1" applyFill="1" applyBorder="1" applyAlignment="1" applyProtection="1">
      <alignment horizontal="center" vertical="center"/>
      <protection hidden="1"/>
    </xf>
    <xf numFmtId="1" fontId="2" fillId="0" borderId="42" xfId="0" applyNumberFormat="1" applyFont="1" applyFill="1" applyBorder="1" applyAlignment="1" applyProtection="1">
      <alignment horizontal="center" vertical="center"/>
      <protection hidden="1"/>
    </xf>
    <xf numFmtId="1" fontId="4" fillId="0" borderId="57" xfId="0" applyNumberFormat="1" applyFont="1" applyFill="1" applyBorder="1" applyAlignment="1" applyProtection="1">
      <alignment horizontal="center" vertical="center"/>
      <protection hidden="1"/>
    </xf>
    <xf numFmtId="1" fontId="2" fillId="0" borderId="67" xfId="0" applyNumberFormat="1" applyFont="1" applyFill="1" applyBorder="1" applyAlignment="1" applyProtection="1">
      <alignment horizontal="center" vertical="center"/>
      <protection hidden="1"/>
    </xf>
    <xf numFmtId="1" fontId="2" fillId="0" borderId="68" xfId="0" applyNumberFormat="1" applyFont="1" applyFill="1" applyBorder="1" applyAlignment="1" applyProtection="1">
      <alignment horizontal="center" vertical="center"/>
      <protection hidden="1"/>
    </xf>
    <xf numFmtId="1" fontId="2" fillId="0" borderId="69" xfId="0" applyNumberFormat="1" applyFont="1" applyFill="1" applyBorder="1" applyAlignment="1" applyProtection="1">
      <alignment horizontal="center" vertical="center"/>
      <protection hidden="1"/>
    </xf>
    <xf numFmtId="1" fontId="2" fillId="0" borderId="73" xfId="0" applyNumberFormat="1" applyFont="1" applyFill="1" applyBorder="1" applyAlignment="1" applyProtection="1">
      <alignment horizontal="center" vertical="center"/>
      <protection hidden="1"/>
    </xf>
    <xf numFmtId="1" fontId="2" fillId="0" borderId="74" xfId="0" applyNumberFormat="1" applyFont="1" applyFill="1" applyBorder="1" applyAlignment="1" applyProtection="1">
      <alignment horizontal="center" vertical="center"/>
      <protection hidden="1"/>
    </xf>
    <xf numFmtId="1" fontId="2" fillId="0" borderId="75" xfId="0" applyNumberFormat="1" applyFont="1" applyFill="1" applyBorder="1" applyAlignment="1" applyProtection="1">
      <alignment horizontal="center" vertical="center"/>
      <protection hidden="1"/>
    </xf>
    <xf numFmtId="1" fontId="5" fillId="0" borderId="57" xfId="0" applyNumberFormat="1" applyFont="1" applyFill="1" applyBorder="1" applyAlignment="1" applyProtection="1">
      <alignment horizontal="center" vertical="center"/>
      <protection hidden="1"/>
    </xf>
    <xf numFmtId="1" fontId="5" fillId="0" borderId="11" xfId="0" applyNumberFormat="1" applyFont="1" applyFill="1" applyBorder="1" applyAlignment="1" applyProtection="1">
      <alignment horizontal="center" vertical="center"/>
      <protection hidden="1"/>
    </xf>
    <xf numFmtId="1" fontId="2" fillId="0" borderId="49" xfId="0" applyNumberFormat="1" applyFont="1" applyFill="1" applyBorder="1" applyAlignment="1" applyProtection="1">
      <alignment horizontal="center" vertical="center"/>
      <protection hidden="1"/>
    </xf>
    <xf numFmtId="1" fontId="2" fillId="0" borderId="12" xfId="0" applyNumberFormat="1" applyFont="1" applyFill="1" applyBorder="1" applyAlignment="1" applyProtection="1">
      <alignment horizontal="center" vertical="center"/>
      <protection hidden="1"/>
    </xf>
    <xf numFmtId="0" fontId="4" fillId="38" borderId="1" xfId="0" applyFont="1" applyFill="1" applyBorder="1" applyAlignment="1" applyProtection="1">
      <alignment horizontal="center" vertical="center"/>
      <protection hidden="1"/>
    </xf>
    <xf numFmtId="0" fontId="4" fillId="38" borderId="57" xfId="0" applyFont="1" applyFill="1" applyBorder="1" applyAlignment="1" applyProtection="1">
      <alignment horizontal="center" vertical="center"/>
      <protection hidden="1"/>
    </xf>
    <xf numFmtId="49" fontId="9" fillId="0" borderId="0" xfId="0" applyNumberFormat="1" applyFont="1" applyFill="1" applyBorder="1" applyAlignment="1" applyProtection="1">
      <alignment horizontal="left" vertical="center"/>
      <protection hidden="1"/>
    </xf>
    <xf numFmtId="49" fontId="0" fillId="0" borderId="0" xfId="0" applyNumberFormat="1" applyFill="1" applyBorder="1" applyAlignment="1" applyProtection="1">
      <alignment horizontal="left" vertical="center"/>
      <protection hidden="1"/>
    </xf>
    <xf numFmtId="0" fontId="22" fillId="0" borderId="0" xfId="0" applyFont="1" applyProtection="1">
      <protection hidden="1"/>
    </xf>
    <xf numFmtId="0" fontId="47" fillId="0" borderId="0" xfId="0" applyFont="1" applyAlignment="1" applyProtection="1">
      <alignment vertical="center"/>
      <protection hidden="1"/>
    </xf>
    <xf numFmtId="1" fontId="4" fillId="43" borderId="57" xfId="0" applyNumberFormat="1" applyFont="1" applyFill="1" applyBorder="1" applyAlignment="1" applyProtection="1">
      <alignment horizontal="center" vertical="center"/>
      <protection hidden="1"/>
    </xf>
    <xf numFmtId="0" fontId="5" fillId="0" borderId="0" xfId="0" applyFont="1" applyBorder="1" applyAlignment="1" applyProtection="1">
      <alignment vertical="center"/>
    </xf>
    <xf numFmtId="0" fontId="47"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1" fontId="2" fillId="0" borderId="0" xfId="0" applyNumberFormat="1" applyFont="1" applyBorder="1" applyAlignment="1" applyProtection="1">
      <alignment horizontal="center" vertical="center"/>
      <protection hidden="1"/>
    </xf>
    <xf numFmtId="0" fontId="49" fillId="43" borderId="5" xfId="0" applyFont="1" applyFill="1" applyBorder="1" applyAlignment="1" applyProtection="1">
      <alignment horizontal="left" vertical="center"/>
      <protection hidden="1"/>
    </xf>
    <xf numFmtId="0" fontId="2" fillId="0" borderId="1"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167" fontId="5" fillId="0" borderId="0" xfId="0" applyNumberFormat="1" applyFont="1" applyBorder="1" applyAlignment="1" applyProtection="1">
      <alignment horizontal="left" vertical="center"/>
      <protection hidden="1"/>
    </xf>
    <xf numFmtId="1" fontId="2" fillId="0" borderId="111" xfId="0" applyNumberFormat="1" applyFont="1" applyBorder="1" applyAlignment="1" applyProtection="1">
      <alignment horizontal="center" vertical="center"/>
      <protection hidden="1"/>
    </xf>
    <xf numFmtId="1" fontId="2" fillId="0" borderId="112" xfId="0" applyNumberFormat="1" applyFont="1" applyBorder="1" applyAlignment="1" applyProtection="1">
      <alignment horizontal="center" vertical="center"/>
      <protection hidden="1"/>
    </xf>
    <xf numFmtId="1" fontId="2" fillId="0" borderId="113" xfId="0" applyNumberFormat="1" applyFont="1" applyBorder="1" applyAlignment="1" applyProtection="1">
      <alignment horizontal="center" vertical="center"/>
      <protection hidden="1"/>
    </xf>
    <xf numFmtId="0" fontId="2" fillId="2" borderId="114" xfId="0" applyFont="1" applyFill="1" applyBorder="1" applyAlignment="1" applyProtection="1">
      <alignment horizontal="center" vertical="center"/>
      <protection locked="0"/>
    </xf>
    <xf numFmtId="1" fontId="0" fillId="4" borderId="64" xfId="0" applyNumberFormat="1" applyFill="1" applyBorder="1" applyAlignment="1" applyProtection="1">
      <alignment horizontal="center" vertical="center"/>
      <protection hidden="1"/>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48" fillId="0" borderId="0" xfId="0" applyFont="1" applyAlignment="1" applyProtection="1">
      <alignment vertical="center"/>
      <protection hidden="1"/>
    </xf>
    <xf numFmtId="0" fontId="0" fillId="0" borderId="57" xfId="0" applyBorder="1" applyAlignment="1" applyProtection="1">
      <alignment vertical="center"/>
      <protection locked="0" hidden="1"/>
    </xf>
    <xf numFmtId="0" fontId="9" fillId="0" borderId="7"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3" fillId="0" borderId="0" xfId="0" applyFont="1" applyAlignment="1" applyProtection="1">
      <alignment vertical="center"/>
      <protection locked="0" hidden="1"/>
    </xf>
    <xf numFmtId="0" fontId="13" fillId="0" borderId="0" xfId="0" applyFont="1" applyFill="1" applyAlignment="1" applyProtection="1">
      <alignment vertical="center"/>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9" fillId="0" borderId="0" xfId="0" applyFont="1" applyFill="1" applyBorder="1" applyAlignment="1" applyProtection="1">
      <alignment horizontal="center" vertical="center"/>
      <protection locked="0" hidden="1"/>
    </xf>
    <xf numFmtId="0" fontId="2" fillId="0" borderId="0" xfId="0" applyFont="1" applyFill="1" applyBorder="1" applyAlignment="1" applyProtection="1">
      <alignment horizontal="left" vertical="center"/>
      <protection locked="0" hidden="1"/>
    </xf>
    <xf numFmtId="0" fontId="2" fillId="0" borderId="0" xfId="0" applyFont="1" applyFill="1" applyBorder="1" applyAlignment="1" applyProtection="1">
      <alignment horizontal="center" vertical="center"/>
      <protection locked="0" hidden="1"/>
    </xf>
    <xf numFmtId="0" fontId="9" fillId="0" borderId="13" xfId="0" applyFont="1" applyFill="1" applyBorder="1" applyAlignment="1" applyProtection="1">
      <alignment horizontal="center" vertical="center"/>
      <protection locked="0" hidden="1"/>
    </xf>
    <xf numFmtId="0" fontId="9" fillId="0" borderId="34" xfId="0" applyFont="1" applyFill="1" applyBorder="1" applyAlignment="1" applyProtection="1">
      <alignment horizontal="center" vertical="center"/>
      <protection locked="0" hidden="1"/>
    </xf>
    <xf numFmtId="0" fontId="9" fillId="0" borderId="31" xfId="0" applyFont="1" applyFill="1" applyBorder="1" applyAlignment="1" applyProtection="1">
      <alignment horizontal="center" vertical="center"/>
      <protection locked="0" hidden="1"/>
    </xf>
    <xf numFmtId="0" fontId="9" fillId="0" borderId="40" xfId="0" applyFont="1" applyFill="1" applyBorder="1" applyAlignment="1" applyProtection="1">
      <alignment horizontal="center" vertical="center"/>
      <protection locked="0" hidden="1"/>
    </xf>
    <xf numFmtId="0" fontId="9" fillId="41" borderId="31" xfId="0" applyFont="1" applyFill="1" applyBorder="1" applyAlignment="1" applyProtection="1">
      <alignment horizontal="center" vertical="center"/>
      <protection locked="0" hidden="1"/>
    </xf>
    <xf numFmtId="0" fontId="0" fillId="0" borderId="40" xfId="0" applyFill="1" applyBorder="1" applyAlignment="1" applyProtection="1">
      <alignment horizontal="center" vertical="center"/>
      <protection locked="0" hidden="1"/>
    </xf>
    <xf numFmtId="0" fontId="9" fillId="0" borderId="33" xfId="0" applyFont="1"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9" fillId="0" borderId="24" xfId="0" applyFont="1" applyFill="1" applyBorder="1" applyAlignment="1" applyProtection="1">
      <alignment horizontal="center" vertical="center"/>
      <protection locked="0" hidden="1"/>
    </xf>
    <xf numFmtId="0" fontId="0" fillId="41" borderId="0" xfId="0" applyFill="1" applyBorder="1" applyAlignment="1" applyProtection="1">
      <alignment horizontal="center" vertical="center"/>
      <protection locked="0" hidden="1"/>
    </xf>
    <xf numFmtId="0" fontId="9" fillId="41" borderId="0" xfId="0" applyFont="1" applyFill="1" applyBorder="1" applyAlignment="1" applyProtection="1">
      <alignment horizontal="center" vertical="center"/>
      <protection locked="0" hidden="1"/>
    </xf>
    <xf numFmtId="0" fontId="9" fillId="0" borderId="8" xfId="0" applyFont="1" applyFill="1" applyBorder="1" applyAlignment="1" applyProtection="1">
      <alignment horizontal="center" vertical="center"/>
      <protection locked="0" hidden="1"/>
    </xf>
    <xf numFmtId="0" fontId="0" fillId="0" borderId="8" xfId="0" applyFill="1" applyBorder="1" applyAlignment="1" applyProtection="1">
      <alignment horizontal="center" vertical="center"/>
      <protection locked="0" hidden="1"/>
    </xf>
    <xf numFmtId="0" fontId="0" fillId="0" borderId="24"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13" xfId="0" applyBorder="1" applyAlignment="1" applyProtection="1">
      <alignment vertical="center"/>
      <protection locked="0" hidden="1"/>
    </xf>
    <xf numFmtId="0" fontId="0" fillId="0" borderId="34"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41" borderId="0" xfId="0" applyFill="1" applyAlignment="1" applyProtection="1">
      <alignment vertical="center"/>
      <protection locked="0" hidden="1"/>
    </xf>
    <xf numFmtId="0" fontId="9" fillId="0" borderId="59" xfId="0" applyFont="1" applyFill="1" applyBorder="1" applyAlignment="1" applyProtection="1">
      <alignment horizontal="center" vertical="center"/>
      <protection locked="0" hidden="1"/>
    </xf>
    <xf numFmtId="0" fontId="9" fillId="0" borderId="38" xfId="0" applyFont="1" applyFill="1" applyBorder="1" applyAlignment="1" applyProtection="1">
      <alignment horizontal="center" vertical="center"/>
      <protection locked="0" hidden="1"/>
    </xf>
    <xf numFmtId="0" fontId="9" fillId="0" borderId="6" xfId="0" applyFont="1" applyFill="1" applyBorder="1" applyAlignment="1" applyProtection="1">
      <alignment horizontal="center" vertical="center"/>
      <protection locked="0" hidden="1"/>
    </xf>
    <xf numFmtId="0" fontId="9" fillId="0" borderId="28"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8" xfId="0" applyNumberFormat="1" applyFill="1" applyBorder="1" applyAlignment="1" applyProtection="1">
      <alignment horizontal="center" vertical="center"/>
      <protection locked="0" hidden="1"/>
    </xf>
    <xf numFmtId="0" fontId="0" fillId="0" borderId="14" xfId="35" applyNumberFormat="1" applyFon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 fontId="0" fillId="0" borderId="13" xfId="0" applyNumberFormat="1" applyFill="1" applyBorder="1" applyAlignment="1" applyProtection="1">
      <alignment horizontal="center" vertical="center"/>
      <protection locked="0" hidden="1"/>
    </xf>
    <xf numFmtId="167" fontId="0" fillId="41" borderId="0" xfId="0" applyNumberFormat="1" applyFill="1" applyBorder="1" applyAlignment="1" applyProtection="1">
      <alignment horizontal="center" vertical="center"/>
      <protection locked="0" hidden="1"/>
    </xf>
    <xf numFmtId="167" fontId="0" fillId="0" borderId="0" xfId="0" applyNumberFormat="1" applyFill="1" applyBorder="1" applyAlignment="1" applyProtection="1">
      <alignment horizontal="center" vertical="center"/>
      <protection locked="0" hidden="1"/>
    </xf>
    <xf numFmtId="167" fontId="0" fillId="0" borderId="13"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6" fontId="0" fillId="0" borderId="13" xfId="0" applyNumberFormat="1" applyFill="1" applyBorder="1" applyAlignment="1" applyProtection="1">
      <alignment horizontal="center" vertical="center"/>
      <protection locked="0" hidden="1"/>
    </xf>
    <xf numFmtId="167" fontId="0" fillId="0" borderId="24" xfId="0" applyNumberFormat="1" applyFill="1" applyBorder="1" applyAlignment="1" applyProtection="1">
      <alignment horizontal="center" vertical="center"/>
      <protection locked="0" hidden="1"/>
    </xf>
    <xf numFmtId="167" fontId="0" fillId="0" borderId="8" xfId="0" applyNumberFormat="1" applyFill="1" applyBorder="1" applyAlignment="1" applyProtection="1">
      <alignment horizontal="center" vertical="center"/>
      <protection locked="0" hidden="1"/>
    </xf>
    <xf numFmtId="1" fontId="0" fillId="0" borderId="8" xfId="0" applyNumberFormat="1" applyFill="1" applyBorder="1" applyAlignment="1" applyProtection="1">
      <alignment horizontal="center" vertical="center"/>
      <protection locked="0" hidden="1"/>
    </xf>
    <xf numFmtId="167" fontId="0" fillId="37" borderId="13" xfId="0" applyNumberFormat="1" applyFill="1" applyBorder="1" applyAlignment="1" applyProtection="1">
      <alignment horizontal="center" vertical="center"/>
      <protection locked="0" hidden="1"/>
    </xf>
    <xf numFmtId="1" fontId="0" fillId="0" borderId="34" xfId="0" applyNumberFormat="1" applyFill="1" applyBorder="1" applyAlignment="1" applyProtection="1">
      <alignment horizontal="center" vertical="center"/>
      <protection locked="0" hidden="1"/>
    </xf>
    <xf numFmtId="1" fontId="0" fillId="0" borderId="40" xfId="0" applyNumberFormat="1" applyFill="1" applyBorder="1" applyAlignment="1" applyProtection="1">
      <alignment horizontal="center" vertical="center"/>
      <protection locked="0" hidden="1"/>
    </xf>
    <xf numFmtId="1" fontId="0" fillId="41" borderId="0" xfId="0" applyNumberFormat="1" applyFill="1" applyBorder="1" applyAlignment="1" applyProtection="1">
      <alignment horizontal="center" vertical="center"/>
      <protection locked="0" hidden="1"/>
    </xf>
    <xf numFmtId="0" fontId="0" fillId="37" borderId="0" xfId="0" applyFill="1" applyBorder="1" applyAlignment="1" applyProtection="1">
      <alignment horizontal="center" vertical="center"/>
      <protection locked="0" hidden="1"/>
    </xf>
    <xf numFmtId="1" fontId="0" fillId="0" borderId="33" xfId="0" applyNumberFormat="1" applyFill="1" applyBorder="1" applyAlignment="1" applyProtection="1">
      <alignment horizontal="center" vertical="center"/>
      <protection locked="0" hidden="1"/>
    </xf>
    <xf numFmtId="0" fontId="0" fillId="4" borderId="8" xfId="0" applyFill="1" applyBorder="1" applyAlignment="1" applyProtection="1">
      <alignment horizontal="center" vertical="center"/>
      <protection locked="0" hidden="1"/>
    </xf>
    <xf numFmtId="1" fontId="0" fillId="4" borderId="24" xfId="0" applyNumberFormat="1" applyFill="1" applyBorder="1" applyAlignment="1" applyProtection="1">
      <alignment horizontal="center" vertical="center"/>
      <protection locked="0" hidden="1"/>
    </xf>
    <xf numFmtId="1" fontId="0" fillId="4" borderId="13" xfId="0" applyNumberFormat="1" applyFill="1" applyBorder="1" applyAlignment="1" applyProtection="1">
      <alignment horizontal="center" vertical="center"/>
      <protection locked="0" hidden="1"/>
    </xf>
    <xf numFmtId="1" fontId="0" fillId="0" borderId="62" xfId="0" applyNumberFormat="1" applyFill="1" applyBorder="1" applyAlignment="1" applyProtection="1">
      <alignment horizontal="center" vertical="center"/>
      <protection locked="0" hidden="1"/>
    </xf>
    <xf numFmtId="1" fontId="0" fillId="0" borderId="39" xfId="0" applyNumberFormat="1" applyFill="1" applyBorder="1" applyAlignment="1" applyProtection="1">
      <alignment horizontal="center" vertical="center"/>
      <protection locked="0" hidden="1"/>
    </xf>
    <xf numFmtId="0" fontId="2" fillId="0" borderId="13" xfId="0" applyFont="1" applyFill="1" applyBorder="1" applyAlignment="1" applyProtection="1">
      <alignment horizontal="center" vertical="center"/>
      <protection locked="0" hidden="1"/>
    </xf>
    <xf numFmtId="0" fontId="2" fillId="0" borderId="24" xfId="0" applyFont="1" applyFill="1" applyBorder="1" applyAlignment="1" applyProtection="1">
      <alignment horizontal="center" vertical="center"/>
      <protection locked="0" hidden="1"/>
    </xf>
    <xf numFmtId="0" fontId="2" fillId="41" borderId="0" xfId="0" applyFont="1" applyFill="1" applyBorder="1" applyAlignment="1" applyProtection="1">
      <alignment horizontal="center" vertical="center"/>
      <protection locked="0" hidden="1"/>
    </xf>
    <xf numFmtId="0" fontId="2" fillId="0" borderId="8" xfId="0" applyFont="1" applyFill="1" applyBorder="1" applyAlignment="1" applyProtection="1">
      <alignment horizontal="center" vertical="center"/>
      <protection locked="0" hidden="1"/>
    </xf>
    <xf numFmtId="0" fontId="2" fillId="4" borderId="8" xfId="0" applyFont="1" applyFill="1" applyBorder="1" applyAlignment="1" applyProtection="1">
      <alignment horizontal="center" vertical="center"/>
      <protection locked="0" hidden="1"/>
    </xf>
    <xf numFmtId="1" fontId="2" fillId="0" borderId="18" xfId="0" applyNumberFormat="1" applyFont="1" applyFill="1" applyBorder="1" applyAlignment="1" applyProtection="1">
      <alignment horizontal="center" vertical="center"/>
      <protection locked="0" hidden="1"/>
    </xf>
    <xf numFmtId="1" fontId="2" fillId="0" borderId="22" xfId="0" applyNumberFormat="1" applyFont="1" applyFill="1" applyBorder="1" applyAlignment="1" applyProtection="1">
      <alignment horizontal="center" vertical="center"/>
      <protection locked="0" hidden="1"/>
    </xf>
    <xf numFmtId="0" fontId="2" fillId="0" borderId="28" xfId="0" applyFont="1" applyFill="1" applyBorder="1" applyAlignment="1" applyProtection="1">
      <alignment horizontal="center" vertical="center"/>
      <protection locked="0" hidden="1"/>
    </xf>
    <xf numFmtId="1" fontId="2" fillId="0" borderId="57" xfId="0" applyNumberFormat="1"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center" vertical="center"/>
      <protection locked="0" hidden="1"/>
    </xf>
    <xf numFmtId="1" fontId="2" fillId="0" borderId="59" xfId="0" applyNumberFormat="1" applyFont="1" applyFill="1" applyBorder="1" applyAlignment="1" applyProtection="1">
      <alignment horizontal="center" vertical="center"/>
      <protection locked="0" hidden="1"/>
    </xf>
    <xf numFmtId="1" fontId="2" fillId="0" borderId="6" xfId="0" applyNumberFormat="1" applyFont="1" applyFill="1" applyBorder="1" applyAlignment="1" applyProtection="1">
      <alignment horizontal="center" vertical="center"/>
      <protection locked="0" hidden="1"/>
    </xf>
    <xf numFmtId="1" fontId="2" fillId="0" borderId="38" xfId="0" applyNumberFormat="1" applyFont="1" applyFill="1" applyBorder="1" applyAlignment="1" applyProtection="1">
      <alignment horizontal="center" vertical="center"/>
      <protection locked="0" hidden="1"/>
    </xf>
    <xf numFmtId="1" fontId="2" fillId="41" borderId="6" xfId="0" applyNumberFormat="1" applyFont="1" applyFill="1" applyBorder="1" applyAlignment="1" applyProtection="1">
      <alignment horizontal="center" vertical="center"/>
      <protection locked="0" hidden="1"/>
    </xf>
    <xf numFmtId="1" fontId="2" fillId="0" borderId="28" xfId="0" applyNumberFormat="1" applyFont="1" applyFill="1" applyBorder="1" applyAlignment="1" applyProtection="1">
      <alignment horizontal="center" vertical="center"/>
      <protection locked="0" hidden="1"/>
    </xf>
    <xf numFmtId="167" fontId="2" fillId="0" borderId="51" xfId="0" applyNumberFormat="1" applyFont="1" applyFill="1" applyBorder="1" applyAlignment="1" applyProtection="1">
      <alignment horizontal="center" vertical="center"/>
      <protection locked="0" hidden="1"/>
    </xf>
    <xf numFmtId="1" fontId="4" fillId="0" borderId="0"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locked="0" hidden="1"/>
    </xf>
    <xf numFmtId="1" fontId="4" fillId="0" borderId="57" xfId="0" applyNumberFormat="1" applyFont="1" applyFill="1" applyBorder="1" applyAlignment="1" applyProtection="1">
      <alignment horizontal="center" vertical="center"/>
      <protection locked="0" hidden="1"/>
    </xf>
    <xf numFmtId="0" fontId="4" fillId="0" borderId="0" xfId="0" applyFont="1" applyFill="1" applyBorder="1" applyAlignment="1" applyProtection="1">
      <alignment horizontal="center" vertical="center"/>
      <protection locked="0" hidden="1"/>
    </xf>
    <xf numFmtId="167" fontId="4" fillId="0" borderId="0" xfId="0" applyNumberFormat="1" applyFont="1" applyFill="1" applyBorder="1" applyAlignment="1" applyProtection="1">
      <alignment horizontal="center" vertical="center"/>
      <protection locked="0" hidden="1"/>
    </xf>
    <xf numFmtId="0" fontId="4" fillId="4" borderId="8" xfId="0" applyFont="1" applyFill="1" applyBorder="1" applyAlignment="1" applyProtection="1">
      <alignment horizontal="center" vertical="center"/>
      <protection locked="0" hidden="1"/>
    </xf>
    <xf numFmtId="167" fontId="2"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locked="0" hidden="1"/>
    </xf>
    <xf numFmtId="2" fontId="5" fillId="0" borderId="0"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167" fontId="5" fillId="0" borderId="0" xfId="0" applyNumberFormat="1" applyFont="1" applyFill="1" applyBorder="1" applyAlignment="1" applyProtection="1">
      <alignment horizontal="center" vertical="center"/>
      <protection locked="0" hidden="1"/>
    </xf>
    <xf numFmtId="0" fontId="5" fillId="4" borderId="8" xfId="0" applyFont="1" applyFill="1" applyBorder="1" applyAlignment="1" applyProtection="1">
      <alignment horizontal="center" vertical="center"/>
      <protection locked="0" hidden="1"/>
    </xf>
    <xf numFmtId="2" fontId="2" fillId="0" borderId="0" xfId="0" applyNumberFormat="1"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left" vertical="center"/>
      <protection locked="0" hidden="1"/>
    </xf>
    <xf numFmtId="1" fontId="9" fillId="4" borderId="24" xfId="0" applyNumberFormat="1" applyFont="1" applyFill="1" applyBorder="1" applyAlignment="1" applyProtection="1">
      <alignment horizontal="center" vertical="center"/>
      <protection locked="0" hidden="1"/>
    </xf>
    <xf numFmtId="1" fontId="9" fillId="4" borderId="13" xfId="0" applyNumberFormat="1" applyFont="1" applyFill="1" applyBorder="1" applyAlignment="1" applyProtection="1">
      <alignment horizontal="center" vertical="center"/>
      <protection locked="0" hidden="1"/>
    </xf>
    <xf numFmtId="0" fontId="2" fillId="0" borderId="7" xfId="0" applyFont="1" applyFill="1" applyBorder="1" applyAlignment="1" applyProtection="1">
      <alignment horizontal="center" vertical="center"/>
      <protection locked="0" hidden="1"/>
    </xf>
    <xf numFmtId="0" fontId="9" fillId="0" borderId="7" xfId="43" applyFont="1" applyFill="1" applyBorder="1" applyAlignment="1" applyProtection="1">
      <alignment horizontal="center" vertical="center"/>
      <protection hidden="1"/>
    </xf>
    <xf numFmtId="1" fontId="9" fillId="0" borderId="7" xfId="43" applyNumberFormat="1" applyFont="1" applyFill="1" applyBorder="1" applyAlignment="1" applyProtection="1">
      <alignment horizontal="center" vertical="center"/>
      <protection hidden="1"/>
    </xf>
    <xf numFmtId="0" fontId="2" fillId="0" borderId="62" xfId="0" applyFont="1" applyFill="1" applyBorder="1" applyAlignment="1" applyProtection="1">
      <alignment horizontal="center" vertical="center"/>
      <protection locked="0" hidden="1"/>
    </xf>
    <xf numFmtId="1" fontId="2" fillId="0" borderId="7" xfId="0" applyNumberFormat="1" applyFont="1" applyFill="1" applyBorder="1" applyAlignment="1" applyProtection="1">
      <alignment horizontal="center" vertical="center"/>
      <protection locked="0" hidden="1"/>
    </xf>
    <xf numFmtId="1" fontId="9" fillId="0" borderId="24" xfId="0" applyNumberFormat="1" applyFont="1" applyFill="1" applyBorder="1" applyAlignment="1" applyProtection="1">
      <alignment horizontal="center" vertical="center"/>
      <protection locked="0" hidden="1"/>
    </xf>
    <xf numFmtId="1" fontId="9" fillId="0" borderId="13" xfId="0" applyNumberFormat="1" applyFont="1" applyFill="1" applyBorder="1" applyAlignment="1" applyProtection="1">
      <alignment horizontal="center" vertical="center"/>
      <protection locked="0" hidden="1"/>
    </xf>
    <xf numFmtId="0" fontId="0" fillId="4" borderId="8" xfId="0" applyFill="1" applyBorder="1" applyAlignment="1" applyProtection="1">
      <alignment vertical="center"/>
      <protection locked="0" hidden="1"/>
    </xf>
    <xf numFmtId="0" fontId="12" fillId="0" borderId="0" xfId="0" applyFont="1" applyFill="1" applyBorder="1" applyAlignment="1" applyProtection="1">
      <alignment horizontal="center" vertical="center"/>
      <protection locked="0" hidden="1"/>
    </xf>
    <xf numFmtId="1" fontId="5" fillId="0" borderId="57" xfId="0" applyNumberFormat="1" applyFont="1" applyFill="1" applyBorder="1" applyAlignment="1" applyProtection="1">
      <alignment horizontal="center" vertical="center"/>
      <protection locked="0" hidden="1"/>
    </xf>
    <xf numFmtId="1" fontId="5" fillId="0" borderId="63" xfId="0" applyNumberFormat="1" applyFont="1" applyFill="1" applyBorder="1" applyAlignment="1" applyProtection="1">
      <alignment horizontal="center" vertical="center"/>
      <protection locked="0" hidden="1"/>
    </xf>
    <xf numFmtId="1" fontId="5" fillId="0" borderId="44"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0" fontId="5" fillId="0" borderId="0" xfId="0" applyFont="1" applyFill="1" applyBorder="1" applyAlignment="1" applyProtection="1">
      <alignment horizontal="left" vertical="center"/>
      <protection locked="0" hidden="1"/>
    </xf>
    <xf numFmtId="0" fontId="2" fillId="0" borderId="0" xfId="0" applyFont="1" applyAlignment="1" applyProtection="1">
      <alignment vertical="center"/>
      <protection locked="0" hidden="1"/>
    </xf>
    <xf numFmtId="167" fontId="2" fillId="0" borderId="0" xfId="0" applyNumberFormat="1" applyFont="1" applyFill="1" applyBorder="1" applyAlignment="1" applyProtection="1">
      <alignment horizontal="center" vertical="center" wrapText="1"/>
      <protection locked="0" hidden="1"/>
    </xf>
    <xf numFmtId="0" fontId="9" fillId="0" borderId="47" xfId="0" applyFont="1" applyFill="1" applyBorder="1" applyAlignment="1" applyProtection="1">
      <alignment horizontal="center" vertical="center"/>
      <protection locked="0" hidden="1"/>
    </xf>
    <xf numFmtId="0" fontId="9" fillId="0" borderId="49" xfId="0" applyFont="1" applyBorder="1" applyAlignment="1" applyProtection="1">
      <alignment horizontal="center" vertical="center"/>
      <protection locked="0" hidden="1"/>
    </xf>
    <xf numFmtId="0" fontId="2" fillId="0" borderId="0" xfId="0" applyFont="1" applyBorder="1" applyAlignment="1" applyProtection="1">
      <alignment horizontal="center" textRotation="90"/>
      <protection locked="0" hidden="1"/>
    </xf>
    <xf numFmtId="1" fontId="2" fillId="0" borderId="61" xfId="0" applyNumberFormat="1" applyFont="1" applyFill="1" applyBorder="1" applyAlignment="1" applyProtection="1">
      <alignment horizontal="center" vertical="center"/>
      <protection locked="0" hidden="1"/>
    </xf>
    <xf numFmtId="1" fontId="2" fillId="0" borderId="64" xfId="0" applyNumberFormat="1" applyFont="1" applyBorder="1" applyAlignment="1" applyProtection="1">
      <alignment horizontal="center" vertical="center"/>
      <protection locked="0" hidden="1"/>
    </xf>
    <xf numFmtId="0" fontId="4" fillId="0" borderId="0" xfId="0" applyFont="1" applyBorder="1" applyAlignment="1" applyProtection="1">
      <alignment horizontal="center" textRotation="90"/>
      <protection locked="0" hidden="1"/>
    </xf>
    <xf numFmtId="0" fontId="4" fillId="0" borderId="0" xfId="0" applyFont="1" applyAlignment="1" applyProtection="1">
      <alignment vertical="center"/>
      <protection locked="0" hidden="1"/>
    </xf>
    <xf numFmtId="165" fontId="2" fillId="0" borderId="49" xfId="0" applyNumberFormat="1" applyFont="1" applyBorder="1" applyAlignment="1" applyProtection="1">
      <alignment horizontal="center" vertical="center"/>
      <protection locked="0" hidden="1"/>
    </xf>
    <xf numFmtId="0" fontId="2" fillId="0" borderId="0" xfId="0" applyFont="1" applyBorder="1" applyAlignment="1" applyProtection="1">
      <alignment horizontal="center" vertical="center"/>
      <protection locked="0" hidden="1"/>
    </xf>
    <xf numFmtId="167" fontId="2" fillId="0" borderId="0" xfId="0" applyNumberFormat="1" applyFont="1" applyBorder="1" applyAlignment="1" applyProtection="1">
      <alignment horizontal="center" vertical="center"/>
      <protection locked="0" hidden="1"/>
    </xf>
    <xf numFmtId="0" fontId="5" fillId="0" borderId="0" xfId="0" applyFont="1" applyBorder="1" applyAlignment="1" applyProtection="1">
      <alignment vertical="center"/>
      <protection locked="0" hidden="1"/>
    </xf>
    <xf numFmtId="0" fontId="5"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4" fillId="0" borderId="0" xfId="0" applyFont="1" applyProtection="1">
      <protection locked="0" hidden="1"/>
    </xf>
    <xf numFmtId="0" fontId="4" fillId="0" borderId="0" xfId="0" applyFont="1" applyProtection="1">
      <protection hidden="1"/>
    </xf>
    <xf numFmtId="0" fontId="9" fillId="0" borderId="0" xfId="0" applyFont="1" applyAlignment="1" applyProtection="1">
      <alignment horizontal="center"/>
      <protection locked="0" hidden="1"/>
    </xf>
    <xf numFmtId="0" fontId="2" fillId="4" borderId="42" xfId="0" applyFont="1" applyFill="1" applyBorder="1" applyAlignment="1" applyProtection="1">
      <alignment horizontal="center" vertical="center"/>
      <protection hidden="1"/>
    </xf>
    <xf numFmtId="1" fontId="2" fillId="39" borderId="68" xfId="0" applyNumberFormat="1" applyFont="1" applyFill="1" applyBorder="1" applyAlignment="1" applyProtection="1">
      <alignment horizontal="center" vertical="center"/>
      <protection hidden="1"/>
    </xf>
    <xf numFmtId="0" fontId="2" fillId="2" borderId="115" xfId="0" applyFont="1" applyFill="1" applyBorder="1" applyAlignment="1" applyProtection="1">
      <alignment horizontal="center" vertical="center"/>
      <protection locked="0"/>
    </xf>
    <xf numFmtId="0" fontId="2" fillId="0" borderId="116" xfId="0" applyFont="1" applyBorder="1" applyAlignment="1" applyProtection="1">
      <alignment horizontal="center" vertical="center"/>
    </xf>
    <xf numFmtId="0" fontId="2" fillId="2" borderId="117" xfId="0" applyFont="1" applyFill="1" applyBorder="1" applyAlignment="1" applyProtection="1">
      <alignment horizontal="center" vertical="center"/>
      <protection locked="0"/>
    </xf>
    <xf numFmtId="0" fontId="2" fillId="0" borderId="58"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118" xfId="0" applyFont="1" applyBorder="1" applyAlignment="1" applyProtection="1">
      <alignment horizontal="center" vertical="center"/>
    </xf>
    <xf numFmtId="0" fontId="2" fillId="36" borderId="66" xfId="0" applyFont="1" applyFill="1" applyBorder="1" applyAlignment="1" applyProtection="1">
      <alignment horizontal="center" vertical="center"/>
      <protection locked="0"/>
    </xf>
    <xf numFmtId="0" fontId="2" fillId="36" borderId="117" xfId="0" applyFont="1" applyFill="1" applyBorder="1" applyAlignment="1" applyProtection="1">
      <alignment horizontal="center" vertical="center"/>
      <protection locked="0"/>
    </xf>
    <xf numFmtId="0" fontId="2" fillId="43" borderId="61" xfId="0" applyFont="1" applyFill="1" applyBorder="1" applyAlignment="1" applyProtection="1">
      <alignment vertical="center"/>
    </xf>
    <xf numFmtId="0" fontId="2" fillId="43" borderId="62" xfId="0" applyFont="1" applyFill="1" applyBorder="1" applyAlignment="1" applyProtection="1">
      <alignment vertical="center"/>
    </xf>
    <xf numFmtId="0" fontId="2" fillId="43" borderId="62" xfId="0" applyFont="1" applyFill="1" applyBorder="1" applyAlignment="1" applyProtection="1">
      <alignment horizontal="center" vertical="center"/>
    </xf>
    <xf numFmtId="49" fontId="0" fillId="0" borderId="0" xfId="0" applyNumberFormat="1" applyAlignment="1" applyProtection="1">
      <alignment vertical="center"/>
      <protection locked="0" hidden="1"/>
    </xf>
    <xf numFmtId="0" fontId="9" fillId="0" borderId="0" xfId="0" applyFont="1" applyFill="1" applyAlignment="1" applyProtection="1">
      <alignment vertical="center"/>
    </xf>
    <xf numFmtId="1" fontId="0" fillId="0" borderId="0" xfId="0" applyNumberFormat="1" applyFill="1" applyAlignment="1" applyProtection="1">
      <alignment horizontal="center" vertical="center"/>
    </xf>
    <xf numFmtId="0" fontId="9" fillId="0" borderId="0" xfId="0" applyFont="1" applyAlignment="1" applyProtection="1">
      <alignment vertical="center"/>
      <protection hidden="1"/>
    </xf>
    <xf numFmtId="0" fontId="5" fillId="0" borderId="7" xfId="0" applyFont="1" applyBorder="1" applyAlignment="1" applyProtection="1">
      <alignment horizontal="center" vertical="center"/>
      <protection hidden="1"/>
    </xf>
    <xf numFmtId="2" fontId="5" fillId="0" borderId="7" xfId="0" applyNumberFormat="1" applyFont="1" applyBorder="1" applyAlignment="1" applyProtection="1">
      <alignment horizontal="center" vertical="center"/>
      <protection hidden="1"/>
    </xf>
    <xf numFmtId="0" fontId="9" fillId="0" borderId="24" xfId="0" applyFont="1" applyFill="1" applyBorder="1" applyAlignment="1" applyProtection="1">
      <alignment vertical="center"/>
      <protection locked="0" hidden="1"/>
    </xf>
    <xf numFmtId="0" fontId="9" fillId="0" borderId="13" xfId="0" applyFont="1" applyFill="1" applyBorder="1" applyAlignment="1" applyProtection="1">
      <alignment vertical="center"/>
      <protection locked="0" hidden="1"/>
    </xf>
    <xf numFmtId="0" fontId="0" fillId="0" borderId="13"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1" fontId="0" fillId="0" borderId="59" xfId="0" applyNumberFormat="1" applyFill="1" applyBorder="1" applyAlignment="1" applyProtection="1">
      <alignment horizontal="center" vertical="center"/>
      <protection locked="0" hidden="1"/>
    </xf>
    <xf numFmtId="167" fontId="0" fillId="0" borderId="24" xfId="0" applyNumberFormat="1" applyBorder="1" applyAlignment="1" applyProtection="1">
      <alignment horizontal="center" vertical="center"/>
      <protection locked="0" hidden="1"/>
    </xf>
    <xf numFmtId="167" fontId="0" fillId="0" borderId="0" xfId="0" applyNumberFormat="1" applyBorder="1" applyAlignment="1" applyProtection="1">
      <alignment horizontal="center" vertical="center"/>
      <protection locked="0" hidden="1"/>
    </xf>
    <xf numFmtId="1" fontId="0" fillId="0" borderId="6" xfId="0" applyNumberFormat="1" applyFill="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2" fillId="0" borderId="0" xfId="0" applyFont="1" applyAlignment="1" applyProtection="1">
      <alignment horizontal="center" vertical="center"/>
      <protection hidden="1"/>
    </xf>
    <xf numFmtId="166" fontId="2" fillId="0" borderId="59" xfId="0" applyNumberFormat="1" applyFont="1" applyFill="1" applyBorder="1" applyAlignment="1" applyProtection="1">
      <alignment horizontal="center" vertical="center"/>
      <protection locked="0" hidden="1"/>
    </xf>
    <xf numFmtId="166" fontId="2" fillId="0" borderId="38" xfId="0" applyNumberFormat="1" applyFont="1" applyFill="1" applyBorder="1" applyAlignment="1" applyProtection="1">
      <alignment horizontal="center" vertical="center"/>
      <protection locked="0" hidden="1"/>
    </xf>
    <xf numFmtId="1" fontId="2" fillId="0" borderId="42" xfId="0" applyNumberFormat="1" applyFont="1" applyFill="1" applyBorder="1" applyAlignment="1" applyProtection="1">
      <alignment horizontal="center" vertical="center"/>
      <protection locked="0" hidden="1"/>
    </xf>
    <xf numFmtId="0" fontId="9" fillId="0" borderId="119" xfId="0" applyFont="1" applyFill="1" applyBorder="1" applyAlignment="1" applyProtection="1">
      <alignment vertical="center"/>
      <protection hidden="1"/>
    </xf>
    <xf numFmtId="0" fontId="9" fillId="0" borderId="108" xfId="0" applyFont="1" applyFill="1" applyBorder="1" applyAlignment="1" applyProtection="1">
      <alignment vertical="center"/>
      <protection hidden="1"/>
    </xf>
    <xf numFmtId="1" fontId="9" fillId="0" borderId="7" xfId="0" applyNumberFormat="1" applyFont="1" applyFill="1" applyBorder="1" applyAlignment="1" applyProtection="1">
      <alignment horizontal="center" vertical="center"/>
      <protection hidden="1"/>
    </xf>
    <xf numFmtId="1" fontId="9" fillId="0" borderId="36" xfId="0" applyNumberFormat="1" applyFont="1" applyFill="1" applyBorder="1" applyAlignment="1" applyProtection="1">
      <alignment horizontal="center" vertical="center"/>
      <protection hidden="1"/>
    </xf>
    <xf numFmtId="0" fontId="2" fillId="43" borderId="47" xfId="0" applyFont="1" applyFill="1" applyBorder="1" applyAlignment="1" applyProtection="1">
      <alignment vertical="center"/>
      <protection hidden="1"/>
    </xf>
    <xf numFmtId="0" fontId="2" fillId="43" borderId="48" xfId="0" applyFont="1" applyFill="1" applyBorder="1" applyAlignment="1" applyProtection="1">
      <alignment vertical="center"/>
      <protection hidden="1"/>
    </xf>
    <xf numFmtId="0" fontId="2" fillId="43" borderId="55" xfId="0" applyFont="1" applyFill="1" applyBorder="1" applyAlignment="1" applyProtection="1">
      <alignment vertical="center"/>
      <protection hidden="1"/>
    </xf>
    <xf numFmtId="0" fontId="9" fillId="36" borderId="7" xfId="0" applyFont="1" applyFill="1" applyBorder="1" applyAlignment="1" applyProtection="1">
      <alignment horizontal="center" vertical="center"/>
      <protection locked="0" hidden="1"/>
    </xf>
    <xf numFmtId="0" fontId="0" fillId="0" borderId="0" xfId="0" applyFill="1" applyBorder="1" applyAlignment="1" applyProtection="1">
      <alignment horizontal="left" vertical="center"/>
      <protection hidden="1"/>
    </xf>
    <xf numFmtId="0" fontId="52" fillId="43" borderId="48" xfId="0" applyFont="1" applyFill="1" applyBorder="1" applyAlignment="1" applyProtection="1">
      <alignment horizontal="center" vertical="center"/>
      <protection hidden="1"/>
    </xf>
    <xf numFmtId="0" fontId="53" fillId="0" borderId="0" xfId="0" applyFont="1" applyAlignment="1" applyProtection="1">
      <alignment vertical="center"/>
    </xf>
    <xf numFmtId="0" fontId="0" fillId="2" borderId="33" xfId="0" applyFill="1" applyBorder="1" applyAlignment="1" applyProtection="1">
      <alignment vertical="center"/>
      <protection locked="0"/>
    </xf>
    <xf numFmtId="0" fontId="0" fillId="2" borderId="28" xfId="0" applyFill="1" applyBorder="1" applyAlignment="1" applyProtection="1">
      <alignment vertical="center"/>
      <protection locked="0"/>
    </xf>
    <xf numFmtId="49" fontId="1" fillId="2" borderId="6" xfId="0" applyNumberFormat="1" applyFont="1" applyFill="1" applyBorder="1" applyAlignment="1" applyProtection="1">
      <alignment horizontal="left" vertical="center"/>
      <protection locked="0"/>
    </xf>
    <xf numFmtId="0" fontId="1" fillId="0" borderId="2" xfId="0" applyFont="1" applyBorder="1" applyAlignment="1" applyProtection="1">
      <alignment vertical="center"/>
    </xf>
    <xf numFmtId="166" fontId="2" fillId="0" borderId="55" xfId="0" applyNumberFormat="1" applyFont="1" applyFill="1" applyBorder="1" applyAlignment="1" applyProtection="1">
      <alignment horizontal="center" vertical="center"/>
      <protection locked="0" hidden="1"/>
    </xf>
    <xf numFmtId="1" fontId="4" fillId="38" borderId="1" xfId="0" applyNumberFormat="1" applyFont="1" applyFill="1" applyBorder="1" applyAlignment="1" applyProtection="1">
      <alignment horizontal="center" vertical="center"/>
      <protection hidden="1"/>
    </xf>
    <xf numFmtId="1" fontId="4" fillId="38" borderId="57" xfId="0" applyNumberFormat="1" applyFont="1" applyFill="1" applyBorder="1" applyAlignment="1" applyProtection="1">
      <alignment horizontal="center" vertical="center"/>
      <protection hidden="1"/>
    </xf>
    <xf numFmtId="49" fontId="1" fillId="0" borderId="0" xfId="63" applyNumberFormat="1" applyFont="1" applyFill="1" applyAlignment="1">
      <alignment horizontal="left"/>
    </xf>
    <xf numFmtId="167" fontId="9" fillId="37" borderId="0" xfId="63" applyNumberFormat="1" applyFont="1" applyFill="1" applyAlignment="1">
      <alignment horizontal="left"/>
    </xf>
    <xf numFmtId="167" fontId="2" fillId="37" borderId="0" xfId="63" applyNumberFormat="1" applyFont="1" applyFill="1" applyAlignment="1">
      <alignment horizontal="center"/>
    </xf>
    <xf numFmtId="167" fontId="2" fillId="37" borderId="0" xfId="63" applyNumberFormat="1" applyFont="1" applyFill="1" applyAlignment="1">
      <alignment horizontal="left"/>
    </xf>
    <xf numFmtId="167" fontId="2" fillId="37" borderId="41" xfId="63" applyNumberFormat="1" applyFont="1" applyFill="1" applyBorder="1" applyAlignment="1">
      <alignment horizontal="center"/>
    </xf>
    <xf numFmtId="167" fontId="2" fillId="37" borderId="12" xfId="63" applyNumberFormat="1" applyFont="1" applyFill="1" applyBorder="1" applyAlignment="1">
      <alignment horizontal="center"/>
    </xf>
    <xf numFmtId="167" fontId="9" fillId="37" borderId="42" xfId="63" applyNumberFormat="1" applyFont="1" applyFill="1" applyBorder="1" applyAlignment="1">
      <alignment horizontal="center"/>
    </xf>
    <xf numFmtId="167" fontId="9" fillId="37" borderId="45" xfId="63" applyNumberFormat="1" applyFont="1" applyFill="1" applyBorder="1" applyAlignment="1">
      <alignment horizontal="center"/>
    </xf>
    <xf numFmtId="167" fontId="9" fillId="37" borderId="46" xfId="63" applyNumberFormat="1" applyFont="1" applyFill="1" applyBorder="1" applyAlignment="1">
      <alignment horizontal="center"/>
    </xf>
    <xf numFmtId="167" fontId="9" fillId="37" borderId="0" xfId="63" applyNumberFormat="1" applyFont="1" applyFill="1" applyAlignment="1">
      <alignment horizontal="center"/>
    </xf>
    <xf numFmtId="0" fontId="2" fillId="37" borderId="0" xfId="63" applyFont="1" applyFill="1" applyAlignment="1">
      <alignment horizontal="center"/>
    </xf>
    <xf numFmtId="0" fontId="2" fillId="37" borderId="12" xfId="63" applyFont="1" applyFill="1" applyBorder="1" applyAlignment="1">
      <alignment horizontal="center"/>
    </xf>
    <xf numFmtId="0" fontId="2" fillId="37" borderId="22" xfId="63" applyFont="1" applyFill="1" applyBorder="1" applyAlignment="1">
      <alignment horizontal="center"/>
    </xf>
    <xf numFmtId="0" fontId="9" fillId="37" borderId="26" xfId="63" applyFont="1" applyFill="1" applyBorder="1" applyAlignment="1">
      <alignment horizontal="center"/>
    </xf>
    <xf numFmtId="0" fontId="9" fillId="37" borderId="30" xfId="63" applyFont="1" applyFill="1" applyBorder="1" applyAlignment="1">
      <alignment horizontal="center"/>
    </xf>
    <xf numFmtId="0" fontId="2" fillId="37" borderId="41" xfId="63" applyFont="1" applyFill="1" applyBorder="1" applyAlignment="1">
      <alignment horizontal="center"/>
    </xf>
    <xf numFmtId="166" fontId="2" fillId="37" borderId="12" xfId="63" applyNumberFormat="1" applyFont="1" applyFill="1" applyBorder="1" applyAlignment="1">
      <alignment horizontal="center"/>
    </xf>
    <xf numFmtId="166" fontId="2" fillId="37" borderId="42" xfId="63" applyNumberFormat="1" applyFont="1" applyFill="1" applyBorder="1" applyAlignment="1">
      <alignment horizontal="center"/>
    </xf>
    <xf numFmtId="167" fontId="9" fillId="37" borderId="10" xfId="63" applyNumberFormat="1" applyFont="1" applyFill="1" applyBorder="1" applyAlignment="1">
      <alignment horizontal="center"/>
    </xf>
    <xf numFmtId="167" fontId="9" fillId="37" borderId="43" xfId="63" applyNumberFormat="1" applyFont="1" applyFill="1" applyBorder="1" applyAlignment="1">
      <alignment horizontal="center"/>
    </xf>
    <xf numFmtId="0" fontId="2" fillId="0" borderId="34" xfId="43" applyFont="1" applyBorder="1" applyProtection="1"/>
    <xf numFmtId="0" fontId="9" fillId="0" borderId="33" xfId="43" applyFont="1" applyBorder="1" applyAlignment="1" applyProtection="1">
      <alignment horizontal="center" vertical="center"/>
    </xf>
    <xf numFmtId="0" fontId="2" fillId="0" borderId="59" xfId="43" applyFont="1" applyBorder="1" applyProtection="1"/>
    <xf numFmtId="0" fontId="9" fillId="43" borderId="60" xfId="43" applyFont="1" applyFill="1" applyBorder="1" applyAlignment="1" applyProtection="1">
      <alignment vertical="center"/>
    </xf>
    <xf numFmtId="1" fontId="9" fillId="43" borderId="7" xfId="43" applyNumberFormat="1" applyFont="1" applyFill="1" applyBorder="1" applyAlignment="1" applyProtection="1">
      <alignment horizontal="center" vertical="center"/>
      <protection hidden="1"/>
    </xf>
    <xf numFmtId="168" fontId="2" fillId="37" borderId="18" xfId="63" applyNumberFormat="1" applyFont="1" applyFill="1" applyBorder="1" applyAlignment="1">
      <alignment horizontal="center"/>
    </xf>
    <xf numFmtId="168" fontId="2" fillId="37" borderId="20" xfId="63" applyNumberFormat="1" applyFont="1" applyFill="1" applyBorder="1" applyAlignment="1">
      <alignment horizontal="center"/>
    </xf>
    <xf numFmtId="168" fontId="2" fillId="37" borderId="44" xfId="63" applyNumberFormat="1" applyFont="1" applyFill="1" applyBorder="1" applyAlignment="1">
      <alignment horizontal="center"/>
    </xf>
    <xf numFmtId="167" fontId="9" fillId="37" borderId="6" xfId="63" applyNumberFormat="1" applyFont="1" applyFill="1" applyBorder="1" applyAlignment="1">
      <alignment horizontal="center"/>
    </xf>
    <xf numFmtId="167" fontId="9" fillId="37" borderId="28" xfId="63" applyNumberFormat="1" applyFont="1" applyFill="1" applyBorder="1" applyAlignment="1">
      <alignment horizontal="center"/>
    </xf>
    <xf numFmtId="167" fontId="9" fillId="37" borderId="59" xfId="63" applyNumberFormat="1" applyFont="1" applyFill="1" applyBorder="1" applyAlignment="1">
      <alignment horizontal="center"/>
    </xf>
    <xf numFmtId="167" fontId="9" fillId="37" borderId="31" xfId="63" applyNumberFormat="1" applyFont="1" applyFill="1" applyBorder="1" applyAlignment="1">
      <alignment horizontal="center"/>
    </xf>
    <xf numFmtId="167" fontId="9" fillId="37" borderId="33" xfId="63" applyNumberFormat="1" applyFont="1" applyFill="1" applyBorder="1" applyAlignment="1">
      <alignment horizontal="center"/>
    </xf>
    <xf numFmtId="167" fontId="9" fillId="37" borderId="34" xfId="63" applyNumberFormat="1" applyFont="1" applyFill="1" applyBorder="1" applyAlignment="1">
      <alignment horizontal="center"/>
    </xf>
    <xf numFmtId="0" fontId="9" fillId="37" borderId="0" xfId="63" applyFont="1" applyFill="1"/>
    <xf numFmtId="0" fontId="9" fillId="37" borderId="0" xfId="0" applyFont="1" applyFill="1"/>
    <xf numFmtId="0" fontId="9" fillId="37" borderId="24" xfId="0" applyFont="1" applyFill="1" applyBorder="1"/>
    <xf numFmtId="0" fontId="9" fillId="37" borderId="0" xfId="0" applyFont="1" applyFill="1" applyBorder="1"/>
    <xf numFmtId="0" fontId="9" fillId="37" borderId="13" xfId="0" applyFont="1" applyFill="1" applyBorder="1"/>
    <xf numFmtId="167" fontId="7" fillId="0" borderId="12" xfId="63" applyNumberFormat="1" applyFont="1" applyFill="1" applyBorder="1" applyAlignment="1">
      <alignment horizontal="center"/>
    </xf>
    <xf numFmtId="49" fontId="9" fillId="45" borderId="4" xfId="63" applyNumberFormat="1" applyFont="1" applyFill="1" applyBorder="1"/>
    <xf numFmtId="49" fontId="9" fillId="45" borderId="0" xfId="63" applyNumberFormat="1" applyFont="1" applyFill="1" applyBorder="1"/>
    <xf numFmtId="167" fontId="9" fillId="45" borderId="12" xfId="63" applyNumberFormat="1" applyFont="1" applyFill="1" applyBorder="1" applyAlignment="1">
      <alignment horizontal="center"/>
    </xf>
    <xf numFmtId="167" fontId="9" fillId="45" borderId="23" xfId="63" applyNumberFormat="1" applyFont="1" applyFill="1" applyBorder="1" applyAlignment="1">
      <alignment horizontal="center"/>
    </xf>
    <xf numFmtId="167" fontId="9" fillId="45" borderId="4" xfId="63" applyNumberFormat="1" applyFont="1" applyFill="1" applyBorder="1" applyAlignment="1">
      <alignment horizontal="center"/>
    </xf>
    <xf numFmtId="167" fontId="9" fillId="45" borderId="13" xfId="63" applyNumberFormat="1" applyFont="1" applyFill="1" applyBorder="1" applyAlignment="1">
      <alignment horizontal="center"/>
    </xf>
    <xf numFmtId="0" fontId="9" fillId="45" borderId="0" xfId="63" applyFont="1" applyFill="1" applyAlignment="1">
      <alignment horizontal="center"/>
    </xf>
    <xf numFmtId="167" fontId="9" fillId="45" borderId="24" xfId="0" applyNumberFormat="1" applyFont="1" applyFill="1" applyBorder="1" applyAlignment="1">
      <alignment horizontal="center"/>
    </xf>
    <xf numFmtId="167" fontId="9" fillId="45" borderId="8" xfId="0" applyNumberFormat="1" applyFont="1" applyFill="1" applyBorder="1" applyAlignment="1">
      <alignment horizontal="center"/>
    </xf>
    <xf numFmtId="167" fontId="9" fillId="45" borderId="13" xfId="0" applyNumberFormat="1" applyFont="1" applyFill="1" applyBorder="1" applyAlignment="1">
      <alignment horizontal="center"/>
    </xf>
    <xf numFmtId="0" fontId="9" fillId="45" borderId="0" xfId="0" applyFont="1" applyFill="1"/>
    <xf numFmtId="0" fontId="12" fillId="45" borderId="0" xfId="0" applyFont="1" applyFill="1" applyAlignment="1" applyProtection="1">
      <alignment horizontal="center"/>
      <protection locked="0"/>
    </xf>
    <xf numFmtId="0" fontId="12" fillId="45" borderId="24" xfId="0" applyFont="1" applyFill="1" applyBorder="1" applyAlignment="1" applyProtection="1">
      <alignment horizontal="center"/>
      <protection locked="0"/>
    </xf>
    <xf numFmtId="0" fontId="12" fillId="45" borderId="8" xfId="0" applyFont="1" applyFill="1" applyBorder="1" applyAlignment="1" applyProtection="1">
      <alignment horizontal="center"/>
      <protection locked="0"/>
    </xf>
    <xf numFmtId="0" fontId="12" fillId="45" borderId="13" xfId="0" applyFont="1" applyFill="1" applyBorder="1" applyAlignment="1" applyProtection="1">
      <alignment horizontal="center"/>
      <protection locked="0"/>
    </xf>
    <xf numFmtId="167" fontId="7" fillId="45" borderId="12" xfId="63" applyNumberFormat="1" applyFont="1" applyFill="1" applyBorder="1" applyAlignment="1">
      <alignment horizontal="center"/>
    </xf>
    <xf numFmtId="0" fontId="9" fillId="45" borderId="24" xfId="0" applyFont="1" applyFill="1" applyBorder="1" applyAlignment="1">
      <alignment horizontal="center"/>
    </xf>
    <xf numFmtId="0" fontId="9" fillId="45" borderId="0" xfId="0" applyFont="1" applyFill="1" applyBorder="1" applyAlignment="1">
      <alignment horizontal="center"/>
    </xf>
    <xf numFmtId="0" fontId="9" fillId="45" borderId="13" xfId="0" applyFont="1" applyFill="1" applyBorder="1" applyAlignment="1">
      <alignment horizontal="center"/>
    </xf>
    <xf numFmtId="167" fontId="0" fillId="45" borderId="0" xfId="0" applyNumberFormat="1" applyFill="1" applyAlignment="1">
      <alignment horizontal="center" vertical="center"/>
    </xf>
    <xf numFmtId="167" fontId="0" fillId="45" borderId="24" xfId="0" applyNumberFormat="1" applyFill="1" applyBorder="1" applyAlignment="1">
      <alignment horizontal="center" vertical="center"/>
    </xf>
    <xf numFmtId="167" fontId="0" fillId="45" borderId="0" xfId="0" applyNumberFormat="1" applyFill="1" applyBorder="1" applyAlignment="1">
      <alignment horizontal="center" vertical="center"/>
    </xf>
    <xf numFmtId="167" fontId="0" fillId="45" borderId="13" xfId="0" applyNumberFormat="1" applyFill="1" applyBorder="1" applyAlignment="1">
      <alignment horizontal="center" vertical="center"/>
    </xf>
    <xf numFmtId="1" fontId="9" fillId="45" borderId="0" xfId="63" applyNumberFormat="1" applyFont="1" applyFill="1" applyBorder="1" applyAlignment="1">
      <alignment horizontal="center"/>
    </xf>
    <xf numFmtId="167" fontId="56" fillId="0" borderId="23" xfId="63" applyNumberFormat="1" applyFont="1" applyFill="1" applyBorder="1" applyAlignment="1">
      <alignment horizontal="center"/>
    </xf>
    <xf numFmtId="167" fontId="56" fillId="3" borderId="8" xfId="63" applyNumberFormat="1" applyFont="1" applyFill="1" applyBorder="1" applyAlignment="1">
      <alignment horizontal="center"/>
    </xf>
    <xf numFmtId="167" fontId="56" fillId="3" borderId="0" xfId="63" applyNumberFormat="1" applyFont="1" applyFill="1" applyBorder="1" applyAlignment="1">
      <alignment horizontal="center"/>
    </xf>
    <xf numFmtId="167" fontId="56" fillId="3" borderId="4" xfId="63" applyNumberFormat="1" applyFont="1" applyFill="1" applyBorder="1" applyAlignment="1">
      <alignment horizontal="center"/>
    </xf>
    <xf numFmtId="167" fontId="56" fillId="37" borderId="9" xfId="63" applyNumberFormat="1" applyFont="1" applyFill="1" applyBorder="1" applyAlignment="1">
      <alignment horizontal="center"/>
    </xf>
    <xf numFmtId="0" fontId="56" fillId="37" borderId="24" xfId="0" applyFont="1" applyFill="1" applyBorder="1" applyAlignment="1">
      <alignment horizontal="center"/>
    </xf>
    <xf numFmtId="167" fontId="56" fillId="37" borderId="46" xfId="63" applyNumberFormat="1" applyFont="1" applyFill="1" applyBorder="1" applyAlignment="1">
      <alignment horizontal="center"/>
    </xf>
    <xf numFmtId="167" fontId="56" fillId="0" borderId="32" xfId="63" applyNumberFormat="1" applyFont="1" applyFill="1" applyBorder="1" applyAlignment="1">
      <alignment horizontal="center"/>
    </xf>
    <xf numFmtId="167" fontId="56" fillId="3" borderId="33" xfId="63" applyNumberFormat="1" applyFont="1" applyFill="1" applyBorder="1" applyAlignment="1">
      <alignment horizontal="center"/>
    </xf>
    <xf numFmtId="167" fontId="56" fillId="3" borderId="31" xfId="63" applyNumberFormat="1" applyFont="1" applyFill="1" applyBorder="1" applyAlignment="1">
      <alignment horizontal="center"/>
    </xf>
    <xf numFmtId="167" fontId="56" fillId="3" borderId="30" xfId="63" applyNumberFormat="1" applyFont="1" applyFill="1" applyBorder="1" applyAlignment="1">
      <alignment horizontal="center"/>
    </xf>
    <xf numFmtId="0" fontId="56" fillId="3" borderId="33" xfId="63" applyFont="1" applyFill="1" applyBorder="1" applyAlignment="1">
      <alignment horizontal="center"/>
    </xf>
    <xf numFmtId="0" fontId="56" fillId="3" borderId="31" xfId="63" applyFont="1" applyFill="1" applyBorder="1" applyAlignment="1">
      <alignment horizontal="center"/>
    </xf>
    <xf numFmtId="0" fontId="56" fillId="37" borderId="30" xfId="63" applyFont="1" applyFill="1" applyBorder="1" applyAlignment="1">
      <alignment horizontal="center"/>
    </xf>
    <xf numFmtId="0" fontId="56" fillId="0" borderId="46" xfId="63" applyFont="1" applyFill="1" applyBorder="1" applyAlignment="1">
      <alignment horizontal="center"/>
    </xf>
    <xf numFmtId="167" fontId="56" fillId="37" borderId="43" xfId="63" applyNumberFormat="1" applyFont="1" applyFill="1" applyBorder="1" applyAlignment="1">
      <alignment horizontal="center"/>
    </xf>
    <xf numFmtId="167" fontId="56" fillId="37" borderId="31" xfId="63" applyNumberFormat="1" applyFont="1" applyFill="1" applyBorder="1" applyAlignment="1">
      <alignment horizontal="center"/>
    </xf>
    <xf numFmtId="167" fontId="56" fillId="37" borderId="33" xfId="63" applyNumberFormat="1" applyFont="1" applyFill="1" applyBorder="1" applyAlignment="1">
      <alignment horizontal="center"/>
    </xf>
    <xf numFmtId="167" fontId="56" fillId="37" borderId="34" xfId="63" applyNumberFormat="1" applyFont="1" applyFill="1" applyBorder="1" applyAlignment="1">
      <alignment horizontal="center"/>
    </xf>
    <xf numFmtId="167" fontId="56" fillId="0" borderId="30" xfId="63" applyNumberFormat="1" applyFont="1" applyFill="1" applyBorder="1" applyAlignment="1">
      <alignment horizontal="center"/>
    </xf>
    <xf numFmtId="167" fontId="56" fillId="0" borderId="35" xfId="63" applyNumberFormat="1" applyFont="1" applyFill="1" applyBorder="1" applyAlignment="1">
      <alignment horizontal="center"/>
    </xf>
    <xf numFmtId="0" fontId="56" fillId="37" borderId="0" xfId="0" applyFont="1" applyFill="1" applyBorder="1" applyAlignment="1">
      <alignment horizontal="center"/>
    </xf>
    <xf numFmtId="0" fontId="56" fillId="37" borderId="13" xfId="0" applyFont="1" applyFill="1" applyBorder="1" applyAlignment="1">
      <alignment horizontal="center"/>
    </xf>
    <xf numFmtId="167" fontId="56" fillId="0" borderId="9" xfId="63" applyNumberFormat="1" applyFont="1" applyFill="1" applyBorder="1" applyAlignment="1">
      <alignment horizontal="center"/>
    </xf>
    <xf numFmtId="0" fontId="56" fillId="37" borderId="4" xfId="63" applyFont="1" applyFill="1" applyBorder="1" applyAlignment="1">
      <alignment horizontal="center"/>
    </xf>
    <xf numFmtId="167" fontId="56" fillId="3" borderId="23" xfId="63" applyNumberFormat="1" applyFont="1" applyFill="1" applyBorder="1" applyAlignment="1">
      <alignment horizontal="center"/>
    </xf>
    <xf numFmtId="2" fontId="56" fillId="3" borderId="8" xfId="63" applyNumberFormat="1" applyFont="1" applyFill="1" applyBorder="1" applyAlignment="1">
      <alignment horizontal="center"/>
    </xf>
    <xf numFmtId="166" fontId="56" fillId="37" borderId="12" xfId="63" applyNumberFormat="1" applyFont="1" applyFill="1" applyBorder="1" applyAlignment="1">
      <alignment horizontal="center"/>
    </xf>
    <xf numFmtId="2" fontId="56" fillId="0" borderId="23" xfId="63" applyNumberFormat="1" applyFont="1" applyFill="1" applyBorder="1" applyAlignment="1">
      <alignment horizontal="center"/>
    </xf>
    <xf numFmtId="2" fontId="56" fillId="3" borderId="24" xfId="63" applyNumberFormat="1" applyFont="1" applyFill="1" applyBorder="1" applyAlignment="1">
      <alignment horizontal="center"/>
    </xf>
    <xf numFmtId="0" fontId="56" fillId="3" borderId="8" xfId="63" applyFont="1" applyFill="1" applyBorder="1" applyAlignment="1">
      <alignment horizontal="center"/>
    </xf>
    <xf numFmtId="0" fontId="56" fillId="3" borderId="24" xfId="63" applyFont="1" applyFill="1" applyBorder="1" applyAlignment="1">
      <alignment horizontal="center"/>
    </xf>
    <xf numFmtId="0" fontId="56" fillId="0" borderId="12" xfId="63" applyFont="1" applyFill="1" applyBorder="1" applyAlignment="1">
      <alignment horizontal="center"/>
    </xf>
    <xf numFmtId="1" fontId="56" fillId="3" borderId="0" xfId="63" applyNumberFormat="1" applyFont="1" applyFill="1" applyBorder="1" applyAlignment="1">
      <alignment horizontal="center"/>
    </xf>
    <xf numFmtId="1" fontId="56" fillId="37" borderId="12" xfId="63" applyNumberFormat="1" applyFont="1" applyFill="1" applyBorder="1" applyAlignment="1">
      <alignment horizontal="center"/>
    </xf>
    <xf numFmtId="1" fontId="56" fillId="0" borderId="4" xfId="63" applyNumberFormat="1" applyFont="1" applyFill="1" applyBorder="1" applyAlignment="1">
      <alignment horizontal="center"/>
    </xf>
    <xf numFmtId="0" fontId="56" fillId="37" borderId="24" xfId="0" applyFont="1" applyFill="1" applyBorder="1" applyAlignment="1" applyProtection="1">
      <alignment horizontal="center" vertical="center"/>
    </xf>
    <xf numFmtId="167" fontId="56" fillId="0" borderId="12" xfId="63" applyNumberFormat="1" applyFont="1" applyFill="1" applyBorder="1" applyAlignment="1">
      <alignment horizontal="center"/>
    </xf>
    <xf numFmtId="0" fontId="56" fillId="37" borderId="25" xfId="63" quotePrefix="1" applyNumberFormat="1" applyFont="1" applyFill="1" applyBorder="1" applyAlignment="1">
      <alignment horizontal="center"/>
    </xf>
    <xf numFmtId="0" fontId="56" fillId="37" borderId="24" xfId="63" quotePrefix="1" applyNumberFormat="1" applyFont="1" applyFill="1" applyBorder="1" applyAlignment="1">
      <alignment horizontal="center"/>
    </xf>
    <xf numFmtId="0" fontId="56" fillId="0" borderId="42" xfId="63" applyFont="1" applyFill="1" applyBorder="1" applyAlignment="1">
      <alignment horizontal="center"/>
    </xf>
    <xf numFmtId="1" fontId="56" fillId="3" borderId="18" xfId="63" applyNumberFormat="1" applyFont="1" applyFill="1" applyBorder="1" applyAlignment="1">
      <alignment horizontal="center"/>
    </xf>
    <xf numFmtId="1" fontId="56" fillId="0" borderId="17" xfId="63" applyNumberFormat="1" applyFont="1" applyFill="1" applyBorder="1" applyAlignment="1">
      <alignment horizontal="center"/>
    </xf>
    <xf numFmtId="2" fontId="58" fillId="0" borderId="46" xfId="63" applyNumberFormat="1" applyFont="1" applyBorder="1" applyAlignment="1">
      <alignment horizontal="center"/>
    </xf>
    <xf numFmtId="2" fontId="1" fillId="0" borderId="12" xfId="63" applyNumberFormat="1" applyFont="1" applyBorder="1" applyAlignment="1">
      <alignment horizontal="center"/>
    </xf>
    <xf numFmtId="2" fontId="58" fillId="0" borderId="12" xfId="63" applyNumberFormat="1" applyFont="1" applyBorder="1" applyAlignment="1">
      <alignment horizontal="center"/>
    </xf>
    <xf numFmtId="2" fontId="1" fillId="0" borderId="46" xfId="63" applyNumberFormat="1" applyFont="1" applyBorder="1" applyAlignment="1">
      <alignment horizontal="center"/>
    </xf>
    <xf numFmtId="166" fontId="1" fillId="0" borderId="12" xfId="63" applyNumberFormat="1" applyFont="1" applyBorder="1" applyAlignment="1">
      <alignment horizontal="center"/>
    </xf>
    <xf numFmtId="49" fontId="9" fillId="0" borderId="0" xfId="63" applyNumberFormat="1"/>
    <xf numFmtId="49" fontId="58" fillId="0" borderId="0" xfId="63" applyNumberFormat="1" applyFont="1" applyAlignment="1">
      <alignment horizontal="left"/>
    </xf>
    <xf numFmtId="49" fontId="1" fillId="0" borderId="0" xfId="63" applyNumberFormat="1" applyFont="1" applyFill="1"/>
    <xf numFmtId="49" fontId="58" fillId="0" borderId="0" xfId="63" applyNumberFormat="1" applyFont="1" applyFill="1" applyAlignment="1">
      <alignment horizontal="left"/>
    </xf>
    <xf numFmtId="49" fontId="58" fillId="0" borderId="0" xfId="63" applyNumberFormat="1" applyFont="1" applyFill="1" applyBorder="1" applyAlignment="1">
      <alignment horizontal="left"/>
    </xf>
    <xf numFmtId="49" fontId="9" fillId="0" borderId="13" xfId="63" applyNumberFormat="1" applyFill="1" applyBorder="1"/>
    <xf numFmtId="2" fontId="58" fillId="0" borderId="8" xfId="63" applyNumberFormat="1" applyFont="1" applyFill="1" applyBorder="1" applyAlignment="1">
      <alignment horizontal="center"/>
    </xf>
    <xf numFmtId="167" fontId="1" fillId="0" borderId="23" xfId="63" applyNumberFormat="1" applyFont="1" applyBorder="1" applyAlignment="1">
      <alignment horizontal="center"/>
    </xf>
    <xf numFmtId="2" fontId="58" fillId="0" borderId="8" xfId="63" applyNumberFormat="1" applyFont="1" applyBorder="1" applyAlignment="1">
      <alignment horizontal="center"/>
    </xf>
    <xf numFmtId="2" fontId="59" fillId="46" borderId="4" xfId="63" applyNumberFormat="1" applyFont="1" applyFill="1" applyBorder="1" applyAlignment="1">
      <alignment horizontal="center"/>
    </xf>
    <xf numFmtId="2" fontId="59" fillId="46" borderId="8" xfId="63" applyNumberFormat="1" applyFont="1" applyFill="1" applyBorder="1" applyAlignment="1">
      <alignment horizontal="center"/>
    </xf>
    <xf numFmtId="2" fontId="59" fillId="46" borderId="0" xfId="63" applyNumberFormat="1" applyFont="1" applyFill="1" applyAlignment="1">
      <alignment horizontal="center"/>
    </xf>
    <xf numFmtId="2" fontId="58" fillId="0" borderId="23" xfId="63" applyNumberFormat="1" applyFont="1" applyBorder="1" applyAlignment="1">
      <alignment horizontal="center"/>
    </xf>
    <xf numFmtId="2" fontId="58" fillId="0" borderId="0" xfId="63" applyNumberFormat="1" applyFont="1" applyAlignment="1">
      <alignment horizontal="center"/>
    </xf>
    <xf numFmtId="2" fontId="58" fillId="0" borderId="25" xfId="63" applyNumberFormat="1" applyFont="1" applyBorder="1" applyAlignment="1">
      <alignment horizontal="center"/>
    </xf>
    <xf numFmtId="167" fontId="1" fillId="39" borderId="8" xfId="63" applyNumberFormat="1" applyFont="1" applyFill="1" applyBorder="1" applyAlignment="1">
      <alignment horizontal="center"/>
    </xf>
    <xf numFmtId="167" fontId="1" fillId="39" borderId="0" xfId="63" applyNumberFormat="1" applyFont="1" applyFill="1" applyAlignment="1">
      <alignment horizontal="center"/>
    </xf>
    <xf numFmtId="2" fontId="59" fillId="0" borderId="8" xfId="63" applyNumberFormat="1" applyFont="1" applyBorder="1" applyAlignment="1">
      <alignment horizontal="center"/>
    </xf>
    <xf numFmtId="2" fontId="1" fillId="0" borderId="0" xfId="63" applyNumberFormat="1" applyFont="1" applyAlignment="1">
      <alignment horizontal="center"/>
    </xf>
    <xf numFmtId="2" fontId="60" fillId="46" borderId="4" xfId="63" applyNumberFormat="1" applyFont="1" applyFill="1" applyBorder="1" applyAlignment="1">
      <alignment horizontal="center"/>
    </xf>
    <xf numFmtId="2" fontId="60" fillId="46" borderId="8" xfId="63" applyNumberFormat="1" applyFont="1" applyFill="1" applyBorder="1" applyAlignment="1">
      <alignment horizontal="center"/>
    </xf>
    <xf numFmtId="2" fontId="60" fillId="46" borderId="0" xfId="63" applyNumberFormat="1" applyFont="1" applyFill="1" applyAlignment="1">
      <alignment horizontal="center"/>
    </xf>
    <xf numFmtId="2" fontId="59" fillId="0" borderId="12" xfId="63" applyNumberFormat="1" applyFont="1" applyBorder="1" applyAlignment="1">
      <alignment horizontal="center"/>
    </xf>
    <xf numFmtId="2" fontId="56" fillId="46" borderId="4" xfId="63" applyNumberFormat="1" applyFont="1" applyFill="1" applyBorder="1" applyAlignment="1">
      <alignment horizontal="center"/>
    </xf>
    <xf numFmtId="2" fontId="56" fillId="46" borderId="8" xfId="63" applyNumberFormat="1" applyFont="1" applyFill="1" applyBorder="1" applyAlignment="1">
      <alignment horizontal="center"/>
    </xf>
    <xf numFmtId="2" fontId="60" fillId="46" borderId="23" xfId="63" applyNumberFormat="1" applyFont="1" applyFill="1" applyBorder="1" applyAlignment="1">
      <alignment horizontal="center"/>
    </xf>
    <xf numFmtId="2" fontId="59" fillId="0" borderId="4" xfId="63" applyNumberFormat="1" applyFont="1" applyBorder="1" applyAlignment="1">
      <alignment horizontal="center"/>
    </xf>
    <xf numFmtId="2" fontId="59" fillId="39" borderId="8" xfId="63" applyNumberFormat="1" applyFont="1" applyFill="1" applyBorder="1" applyAlignment="1">
      <alignment horizontal="center"/>
    </xf>
    <xf numFmtId="2" fontId="1" fillId="46" borderId="4" xfId="63" applyNumberFormat="1" applyFont="1" applyFill="1" applyBorder="1" applyAlignment="1">
      <alignment horizontal="center"/>
    </xf>
    <xf numFmtId="2" fontId="1" fillId="46" borderId="8" xfId="63" applyNumberFormat="1" applyFont="1" applyFill="1" applyBorder="1" applyAlignment="1">
      <alignment horizontal="center"/>
    </xf>
    <xf numFmtId="2" fontId="1" fillId="46" borderId="0" xfId="63" applyNumberFormat="1" applyFont="1" applyFill="1" applyAlignment="1">
      <alignment horizontal="center"/>
    </xf>
    <xf numFmtId="2" fontId="1" fillId="0" borderId="30" xfId="63" applyNumberFormat="1" applyFont="1" applyBorder="1" applyAlignment="1">
      <alignment horizontal="center"/>
    </xf>
    <xf numFmtId="2" fontId="59" fillId="39" borderId="33" xfId="63" applyNumberFormat="1" applyFont="1" applyFill="1" applyBorder="1" applyAlignment="1">
      <alignment horizontal="center"/>
    </xf>
    <xf numFmtId="2" fontId="59" fillId="39" borderId="31" xfId="63" applyNumberFormat="1" applyFont="1" applyFill="1" applyBorder="1" applyAlignment="1">
      <alignment horizontal="center"/>
    </xf>
    <xf numFmtId="2" fontId="59" fillId="46" borderId="30" xfId="63" applyNumberFormat="1" applyFont="1" applyFill="1" applyBorder="1" applyAlignment="1">
      <alignment horizontal="center"/>
    </xf>
    <xf numFmtId="2" fontId="59" fillId="46" borderId="33" xfId="63" applyNumberFormat="1" applyFont="1" applyFill="1" applyBorder="1" applyAlignment="1">
      <alignment horizontal="center"/>
    </xf>
    <xf numFmtId="2" fontId="59" fillId="46" borderId="31" xfId="63" applyNumberFormat="1" applyFont="1" applyFill="1" applyBorder="1" applyAlignment="1">
      <alignment horizontal="center"/>
    </xf>
    <xf numFmtId="2" fontId="59" fillId="0" borderId="46" xfId="63" applyNumberFormat="1" applyFont="1" applyBorder="1" applyAlignment="1">
      <alignment horizontal="center"/>
    </xf>
    <xf numFmtId="2" fontId="1" fillId="0" borderId="32" xfId="63" applyNumberFormat="1" applyFont="1" applyBorder="1" applyAlignment="1">
      <alignment horizontal="center"/>
    </xf>
    <xf numFmtId="2" fontId="1" fillId="39" borderId="33" xfId="63" applyNumberFormat="1" applyFont="1" applyFill="1" applyBorder="1" applyAlignment="1">
      <alignment horizontal="center"/>
    </xf>
    <xf numFmtId="2" fontId="1" fillId="39" borderId="31" xfId="63" applyNumberFormat="1" applyFont="1" applyFill="1" applyBorder="1" applyAlignment="1">
      <alignment horizontal="center"/>
    </xf>
    <xf numFmtId="2" fontId="59" fillId="46" borderId="43" xfId="63" applyNumberFormat="1" applyFont="1" applyFill="1" applyBorder="1" applyAlignment="1">
      <alignment horizontal="center"/>
    </xf>
    <xf numFmtId="2" fontId="1" fillId="0" borderId="23" xfId="63" applyNumberFormat="1" applyFont="1" applyBorder="1" applyAlignment="1">
      <alignment horizontal="center"/>
    </xf>
    <xf numFmtId="2" fontId="1" fillId="39" borderId="8" xfId="63" applyNumberFormat="1" applyFont="1" applyFill="1" applyBorder="1" applyAlignment="1">
      <alignment horizontal="center"/>
    </xf>
    <xf numFmtId="2" fontId="1" fillId="39" borderId="0" xfId="63" applyNumberFormat="1" applyFont="1" applyFill="1" applyAlignment="1">
      <alignment horizontal="center"/>
    </xf>
    <xf numFmtId="2" fontId="59" fillId="0" borderId="32" xfId="63" applyNumberFormat="1" applyFont="1" applyBorder="1" applyAlignment="1">
      <alignment horizontal="center"/>
    </xf>
    <xf numFmtId="2" fontId="58" fillId="0" borderId="31" xfId="63" applyNumberFormat="1" applyFont="1" applyBorder="1" applyAlignment="1">
      <alignment horizontal="center"/>
    </xf>
    <xf numFmtId="2" fontId="58" fillId="0" borderId="33" xfId="63" applyNumberFormat="1" applyFont="1" applyBorder="1" applyAlignment="1">
      <alignment horizontal="center"/>
    </xf>
    <xf numFmtId="2" fontId="58" fillId="0" borderId="35" xfId="63" applyNumberFormat="1" applyFont="1" applyBorder="1" applyAlignment="1">
      <alignment horizontal="center"/>
    </xf>
    <xf numFmtId="2" fontId="59" fillId="0" borderId="23" xfId="63" applyNumberFormat="1" applyFont="1" applyBorder="1" applyAlignment="1">
      <alignment horizontal="center"/>
    </xf>
    <xf numFmtId="167" fontId="1" fillId="0" borderId="4" xfId="63" applyNumberFormat="1" applyFont="1" applyBorder="1" applyAlignment="1">
      <alignment horizontal="center"/>
    </xf>
    <xf numFmtId="167" fontId="1" fillId="0" borderId="25" xfId="63" applyNumberFormat="1" applyFont="1" applyBorder="1" applyAlignment="1">
      <alignment horizontal="center"/>
    </xf>
    <xf numFmtId="167" fontId="1" fillId="0" borderId="32" xfId="63" applyNumberFormat="1" applyFont="1" applyBorder="1" applyAlignment="1">
      <alignment horizontal="center"/>
    </xf>
    <xf numFmtId="167" fontId="1" fillId="0" borderId="9" xfId="63" applyNumberFormat="1" applyFont="1" applyBorder="1" applyAlignment="1">
      <alignment horizontal="center"/>
    </xf>
    <xf numFmtId="167" fontId="1" fillId="0" borderId="30" xfId="63" applyNumberFormat="1" applyFont="1" applyBorder="1" applyAlignment="1">
      <alignment horizontal="center"/>
    </xf>
    <xf numFmtId="167" fontId="1" fillId="0" borderId="35" xfId="63" applyNumberFormat="1" applyFont="1" applyBorder="1" applyAlignment="1">
      <alignment horizontal="center"/>
    </xf>
    <xf numFmtId="0" fontId="59" fillId="0" borderId="0" xfId="0" applyFont="1" applyAlignment="1">
      <alignment horizontal="center"/>
    </xf>
    <xf numFmtId="2" fontId="59" fillId="0" borderId="0" xfId="0" applyNumberFormat="1" applyFont="1" applyAlignment="1">
      <alignment horizontal="center"/>
    </xf>
    <xf numFmtId="167" fontId="56" fillId="46" borderId="23" xfId="63" applyNumberFormat="1" applyFont="1" applyFill="1" applyBorder="1" applyAlignment="1">
      <alignment horizontal="center"/>
    </xf>
    <xf numFmtId="0" fontId="56" fillId="46" borderId="8" xfId="63" applyFont="1" applyFill="1" applyBorder="1" applyAlignment="1">
      <alignment horizontal="center"/>
    </xf>
    <xf numFmtId="0" fontId="56" fillId="46" borderId="24" xfId="63" applyFont="1" applyFill="1" applyBorder="1" applyAlignment="1">
      <alignment horizontal="center"/>
    </xf>
    <xf numFmtId="0" fontId="56" fillId="0" borderId="12" xfId="63" applyFont="1" applyBorder="1" applyAlignment="1">
      <alignment horizontal="center"/>
    </xf>
    <xf numFmtId="2" fontId="1" fillId="39" borderId="24" xfId="63" applyNumberFormat="1" applyFont="1" applyFill="1" applyBorder="1" applyAlignment="1">
      <alignment horizontal="center"/>
    </xf>
    <xf numFmtId="2" fontId="59" fillId="39" borderId="0" xfId="63" applyNumberFormat="1" applyFont="1" applyFill="1" applyAlignment="1">
      <alignment horizontal="center"/>
    </xf>
    <xf numFmtId="2" fontId="58" fillId="39" borderId="8" xfId="63" applyNumberFormat="1" applyFont="1" applyFill="1" applyBorder="1" applyAlignment="1">
      <alignment horizontal="center"/>
    </xf>
    <xf numFmtId="2" fontId="58" fillId="39" borderId="0" xfId="63" applyNumberFormat="1" applyFont="1" applyFill="1" applyAlignment="1">
      <alignment horizontal="center"/>
    </xf>
    <xf numFmtId="0" fontId="56" fillId="46" borderId="25" xfId="63" applyFont="1" applyFill="1" applyBorder="1" applyAlignment="1">
      <alignment horizontal="center"/>
    </xf>
    <xf numFmtId="2" fontId="1" fillId="0" borderId="19" xfId="63" applyNumberFormat="1" applyFont="1" applyBorder="1" applyAlignment="1">
      <alignment horizontal="center"/>
    </xf>
    <xf numFmtId="2" fontId="1" fillId="39" borderId="20" xfId="63" applyNumberFormat="1" applyFont="1" applyFill="1" applyBorder="1" applyAlignment="1">
      <alignment horizontal="center"/>
    </xf>
    <xf numFmtId="2" fontId="1" fillId="39" borderId="18" xfId="63" applyNumberFormat="1" applyFont="1" applyFill="1" applyBorder="1" applyAlignment="1">
      <alignment horizontal="center"/>
    </xf>
    <xf numFmtId="167" fontId="56" fillId="46" borderId="19" xfId="63" applyNumberFormat="1" applyFont="1" applyFill="1" applyBorder="1" applyAlignment="1">
      <alignment horizontal="center"/>
    </xf>
    <xf numFmtId="0" fontId="56" fillId="46" borderId="20" xfId="63" applyFont="1" applyFill="1" applyBorder="1" applyAlignment="1">
      <alignment horizontal="center"/>
    </xf>
    <xf numFmtId="0" fontId="56" fillId="46" borderId="44" xfId="63" applyFont="1" applyFill="1" applyBorder="1" applyAlignment="1">
      <alignment horizontal="center"/>
    </xf>
    <xf numFmtId="0" fontId="56" fillId="0" borderId="42" xfId="63" applyFont="1" applyBorder="1" applyAlignment="1">
      <alignment horizontal="center"/>
    </xf>
    <xf numFmtId="1" fontId="1" fillId="0" borderId="0" xfId="63" applyNumberFormat="1" applyFont="1" applyFill="1" applyBorder="1" applyAlignment="1">
      <alignment horizontal="right"/>
    </xf>
    <xf numFmtId="2" fontId="58" fillId="0" borderId="9" xfId="63" applyNumberFormat="1" applyFont="1" applyBorder="1" applyAlignment="1">
      <alignment horizontal="center"/>
    </xf>
    <xf numFmtId="2" fontId="1" fillId="0" borderId="25" xfId="63" applyNumberFormat="1" applyFont="1" applyBorder="1" applyAlignment="1">
      <alignment horizontal="center"/>
    </xf>
    <xf numFmtId="2" fontId="1" fillId="0" borderId="42" xfId="63" applyNumberFormat="1" applyFont="1" applyBorder="1" applyAlignment="1">
      <alignment horizontal="center"/>
    </xf>
    <xf numFmtId="2" fontId="1" fillId="0" borderId="44" xfId="63" applyNumberFormat="1" applyFont="1" applyBorder="1" applyAlignment="1">
      <alignment horizontal="center"/>
    </xf>
    <xf numFmtId="167" fontId="56" fillId="4" borderId="32" xfId="63" applyNumberFormat="1" applyFont="1" applyFill="1" applyBorder="1" applyAlignment="1">
      <alignment horizontal="center"/>
    </xf>
    <xf numFmtId="167" fontId="56" fillId="4" borderId="33" xfId="63" applyNumberFormat="1" applyFont="1" applyFill="1" applyBorder="1" applyAlignment="1">
      <alignment horizontal="center"/>
    </xf>
    <xf numFmtId="167" fontId="56" fillId="4" borderId="31" xfId="63" applyNumberFormat="1" applyFont="1" applyFill="1" applyBorder="1" applyAlignment="1">
      <alignment horizontal="center"/>
    </xf>
    <xf numFmtId="167" fontId="1" fillId="0" borderId="30" xfId="63" applyNumberFormat="1" applyFont="1" applyFill="1" applyBorder="1" applyAlignment="1">
      <alignment horizontal="center"/>
    </xf>
    <xf numFmtId="167" fontId="1" fillId="0" borderId="35" xfId="63" applyNumberFormat="1" applyFont="1" applyFill="1" applyBorder="1" applyAlignment="1">
      <alignment horizontal="center"/>
    </xf>
    <xf numFmtId="167" fontId="1" fillId="0" borderId="23" xfId="63" applyNumberFormat="1" applyFont="1" applyFill="1" applyBorder="1" applyAlignment="1">
      <alignment horizontal="center"/>
    </xf>
    <xf numFmtId="167" fontId="1" fillId="0" borderId="9" xfId="63" applyNumberFormat="1" applyFont="1" applyFill="1" applyBorder="1" applyAlignment="1">
      <alignment horizontal="center"/>
    </xf>
    <xf numFmtId="167" fontId="1" fillId="0" borderId="19" xfId="63" applyNumberFormat="1" applyFont="1" applyFill="1" applyBorder="1" applyAlignment="1">
      <alignment horizontal="center"/>
    </xf>
    <xf numFmtId="167" fontId="1" fillId="0" borderId="44" xfId="63" applyNumberFormat="1" applyFont="1" applyFill="1" applyBorder="1" applyAlignment="1">
      <alignment horizontal="center"/>
    </xf>
    <xf numFmtId="167" fontId="1" fillId="0" borderId="4" xfId="63" applyNumberFormat="1" applyFont="1" applyFill="1" applyBorder="1" applyAlignment="1">
      <alignment horizontal="center"/>
    </xf>
    <xf numFmtId="167" fontId="1" fillId="0" borderId="25" xfId="63" applyNumberFormat="1" applyFont="1" applyFill="1" applyBorder="1" applyAlignment="1">
      <alignment horizontal="center"/>
    </xf>
    <xf numFmtId="0" fontId="56" fillId="0" borderId="13" xfId="63" applyFont="1" applyBorder="1" applyAlignment="1">
      <alignment horizontal="center"/>
    </xf>
    <xf numFmtId="167" fontId="56" fillId="0" borderId="13" xfId="63" applyNumberFormat="1" applyFont="1" applyBorder="1" applyAlignment="1">
      <alignment horizontal="center"/>
    </xf>
    <xf numFmtId="2" fontId="56" fillId="0" borderId="12" xfId="63" applyNumberFormat="1" applyFont="1" applyBorder="1" applyAlignment="1">
      <alignment horizontal="center"/>
    </xf>
    <xf numFmtId="2" fontId="56" fillId="0" borderId="25" xfId="63" applyNumberFormat="1" applyFont="1" applyBorder="1" applyAlignment="1">
      <alignment horizontal="center"/>
    </xf>
    <xf numFmtId="2" fontId="1" fillId="39" borderId="34" xfId="63" applyNumberFormat="1" applyFont="1" applyFill="1" applyBorder="1" applyAlignment="1">
      <alignment horizontal="center"/>
    </xf>
    <xf numFmtId="167" fontId="1" fillId="0" borderId="12" xfId="63" applyNumberFormat="1" applyFont="1" applyFill="1" applyBorder="1" applyAlignment="1">
      <alignment horizontal="center"/>
    </xf>
    <xf numFmtId="0" fontId="1" fillId="0" borderId="12" xfId="63" applyFont="1" applyFill="1" applyBorder="1" applyAlignment="1">
      <alignment horizontal="center"/>
    </xf>
    <xf numFmtId="2" fontId="57" fillId="40" borderId="12" xfId="63" applyNumberFormat="1" applyFont="1" applyFill="1" applyBorder="1" applyAlignment="1">
      <alignment horizontal="center"/>
    </xf>
    <xf numFmtId="2" fontId="7" fillId="0" borderId="12" xfId="63" applyNumberFormat="1" applyFont="1" applyFill="1" applyBorder="1" applyAlignment="1">
      <alignment horizontal="center"/>
    </xf>
    <xf numFmtId="2" fontId="57" fillId="0" borderId="12" xfId="63" applyNumberFormat="1" applyFont="1" applyFill="1" applyBorder="1" applyAlignment="1">
      <alignment horizontal="center"/>
    </xf>
    <xf numFmtId="0" fontId="1" fillId="0" borderId="23" xfId="63" applyFont="1" applyBorder="1" applyAlignment="1">
      <alignment horizontal="center"/>
    </xf>
    <xf numFmtId="167" fontId="1" fillId="0" borderId="0" xfId="63" applyNumberFormat="1" applyFont="1" applyAlignment="1">
      <alignment horizontal="center"/>
    </xf>
    <xf numFmtId="2" fontId="59" fillId="0" borderId="8" xfId="0" applyNumberFormat="1" applyFont="1" applyBorder="1" applyAlignment="1">
      <alignment horizontal="center"/>
    </xf>
    <xf numFmtId="2" fontId="59" fillId="39" borderId="24" xfId="63" applyNumberFormat="1" applyFont="1" applyFill="1" applyBorder="1" applyAlignment="1">
      <alignment horizontal="center"/>
    </xf>
    <xf numFmtId="2" fontId="61" fillId="0" borderId="12" xfId="63" applyNumberFormat="1" applyFont="1" applyBorder="1" applyAlignment="1">
      <alignment horizontal="center"/>
    </xf>
    <xf numFmtId="2" fontId="59" fillId="0" borderId="0" xfId="63" applyNumberFormat="1" applyFont="1" applyAlignment="1">
      <alignment horizontal="center"/>
    </xf>
    <xf numFmtId="2" fontId="1" fillId="0" borderId="8" xfId="63" applyNumberFormat="1" applyFont="1" applyBorder="1" applyAlignment="1">
      <alignment horizontal="center"/>
    </xf>
    <xf numFmtId="2" fontId="59" fillId="0" borderId="31" xfId="63" applyNumberFormat="1" applyFont="1" applyBorder="1" applyAlignment="1">
      <alignment horizontal="center"/>
    </xf>
    <xf numFmtId="167" fontId="1" fillId="0" borderId="8" xfId="63" applyNumberFormat="1" applyFont="1" applyBorder="1" applyAlignment="1">
      <alignment horizontal="center"/>
    </xf>
    <xf numFmtId="2" fontId="1" fillId="42" borderId="12" xfId="63" applyNumberFormat="1" applyFont="1" applyFill="1" applyBorder="1" applyAlignment="1">
      <alignment horizontal="center"/>
    </xf>
    <xf numFmtId="165" fontId="58" fillId="0" borderId="25" xfId="63" applyNumberFormat="1" applyFont="1" applyBorder="1" applyAlignment="1">
      <alignment horizontal="center"/>
    </xf>
    <xf numFmtId="165" fontId="1" fillId="0" borderId="0" xfId="63" applyNumberFormat="1" applyFont="1" applyFill="1" applyBorder="1" applyAlignment="1">
      <alignment horizontal="center"/>
    </xf>
    <xf numFmtId="1" fontId="1" fillId="0" borderId="12" xfId="63" applyNumberFormat="1" applyFont="1" applyFill="1" applyBorder="1" applyAlignment="1">
      <alignment horizontal="center"/>
    </xf>
    <xf numFmtId="1" fontId="1" fillId="0" borderId="42" xfId="63" applyNumberFormat="1" applyFont="1" applyFill="1" applyBorder="1" applyAlignment="1">
      <alignment horizontal="center"/>
    </xf>
    <xf numFmtId="49" fontId="58" fillId="0" borderId="18" xfId="63" applyNumberFormat="1" applyFont="1" applyBorder="1" applyAlignment="1">
      <alignment horizontal="left"/>
    </xf>
    <xf numFmtId="167" fontId="1" fillId="0" borderId="44" xfId="63" applyNumberFormat="1" applyFont="1" applyBorder="1" applyAlignment="1">
      <alignment horizontal="center"/>
    </xf>
    <xf numFmtId="0" fontId="56" fillId="0" borderId="17" xfId="63" applyFont="1" applyFill="1" applyBorder="1" applyAlignment="1">
      <alignment horizontal="center"/>
    </xf>
    <xf numFmtId="2" fontId="55" fillId="0" borderId="19" xfId="63" applyNumberFormat="1" applyFont="1" applyBorder="1" applyAlignment="1">
      <alignment horizontal="center"/>
    </xf>
    <xf numFmtId="2" fontId="55" fillId="0" borderId="20" xfId="63" applyNumberFormat="1" applyFont="1" applyBorder="1" applyAlignment="1">
      <alignment horizontal="center"/>
    </xf>
    <xf numFmtId="2" fontId="58" fillId="0" borderId="42" xfId="63" applyNumberFormat="1" applyFont="1" applyBorder="1" applyAlignment="1">
      <alignment horizontal="center"/>
    </xf>
    <xf numFmtId="0" fontId="16" fillId="0" borderId="2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56" fillId="0" borderId="59" xfId="0" applyFont="1" applyFill="1" applyBorder="1" applyAlignment="1" applyProtection="1">
      <alignment horizontal="center" vertical="center"/>
    </xf>
    <xf numFmtId="0" fontId="56" fillId="0" borderId="6"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167" fontId="56" fillId="0" borderId="24" xfId="0" applyNumberFormat="1" applyFont="1" applyFill="1" applyBorder="1" applyAlignment="1">
      <alignment horizontal="center"/>
    </xf>
    <xf numFmtId="167" fontId="56" fillId="0" borderId="0" xfId="0" applyNumberFormat="1" applyFont="1" applyFill="1" applyBorder="1" applyAlignment="1">
      <alignment horizontal="center"/>
    </xf>
    <xf numFmtId="167" fontId="56" fillId="0" borderId="13" xfId="0" applyNumberFormat="1" applyFont="1" applyFill="1" applyBorder="1" applyAlignment="1">
      <alignment horizontal="center"/>
    </xf>
    <xf numFmtId="2" fontId="58" fillId="0" borderId="32" xfId="63" applyNumberFormat="1" applyFont="1" applyBorder="1" applyAlignment="1">
      <alignment horizontal="center"/>
    </xf>
    <xf numFmtId="2" fontId="1" fillId="0" borderId="32" xfId="63" applyNumberFormat="1" applyFont="1" applyFill="1" applyBorder="1" applyAlignment="1">
      <alignment horizontal="center"/>
    </xf>
    <xf numFmtId="2" fontId="1" fillId="0" borderId="33" xfId="63" applyNumberFormat="1" applyFont="1" applyFill="1" applyBorder="1" applyAlignment="1">
      <alignment horizontal="center"/>
    </xf>
    <xf numFmtId="2" fontId="1" fillId="0" borderId="35" xfId="63" applyNumberFormat="1" applyFont="1" applyFill="1" applyBorder="1" applyAlignment="1">
      <alignment horizontal="center"/>
    </xf>
    <xf numFmtId="2" fontId="1" fillId="0" borderId="23" xfId="63" applyNumberFormat="1" applyFont="1" applyFill="1" applyBorder="1" applyAlignment="1">
      <alignment horizontal="center"/>
    </xf>
    <xf numFmtId="2" fontId="1" fillId="0" borderId="8" xfId="63" applyNumberFormat="1" applyFont="1" applyFill="1" applyBorder="1" applyAlignment="1">
      <alignment horizontal="center"/>
    </xf>
    <xf numFmtId="2" fontId="1" fillId="0" borderId="25" xfId="63" applyNumberFormat="1" applyFont="1" applyFill="1" applyBorder="1" applyAlignment="1">
      <alignment horizontal="center"/>
    </xf>
    <xf numFmtId="0" fontId="2" fillId="42" borderId="0" xfId="63" applyFont="1" applyFill="1" applyAlignment="1">
      <alignment horizontal="left"/>
    </xf>
    <xf numFmtId="167" fontId="1" fillId="3" borderId="31" xfId="63" applyNumberFormat="1" applyFont="1" applyFill="1" applyBorder="1" applyAlignment="1">
      <alignment horizontal="center"/>
    </xf>
    <xf numFmtId="167" fontId="1" fillId="3" borderId="0" xfId="63" applyNumberFormat="1" applyFont="1" applyFill="1" applyBorder="1" applyAlignment="1">
      <alignment horizontal="center"/>
    </xf>
    <xf numFmtId="0" fontId="1" fillId="3" borderId="17" xfId="63" applyFont="1" applyFill="1" applyBorder="1" applyAlignment="1">
      <alignment horizontal="center"/>
    </xf>
    <xf numFmtId="2" fontId="7" fillId="0" borderId="25" xfId="63" applyNumberFormat="1" applyFont="1" applyBorder="1" applyAlignment="1">
      <alignment horizontal="center"/>
    </xf>
    <xf numFmtId="2" fontId="7" fillId="0" borderId="35" xfId="63" applyNumberFormat="1" applyFont="1" applyFill="1" applyBorder="1" applyAlignment="1">
      <alignment horizontal="center"/>
    </xf>
    <xf numFmtId="2" fontId="7" fillId="0" borderId="25" xfId="63" applyNumberFormat="1" applyFont="1" applyFill="1" applyBorder="1" applyAlignment="1">
      <alignment horizontal="center"/>
    </xf>
    <xf numFmtId="2" fontId="7" fillId="0" borderId="35" xfId="63" applyNumberFormat="1" applyFont="1" applyBorder="1" applyAlignment="1">
      <alignment horizontal="center"/>
    </xf>
    <xf numFmtId="0" fontId="2" fillId="47" borderId="9" xfId="63" applyFont="1" applyFill="1" applyBorder="1" applyAlignment="1">
      <alignment horizontal="center" vertical="center"/>
    </xf>
    <xf numFmtId="2" fontId="1" fillId="3" borderId="0" xfId="63" applyNumberFormat="1" applyFont="1" applyFill="1" applyBorder="1" applyAlignment="1">
      <alignment horizontal="center"/>
    </xf>
    <xf numFmtId="1" fontId="1" fillId="3" borderId="0" xfId="63" applyNumberFormat="1" applyFont="1" applyFill="1" applyBorder="1" applyAlignment="1">
      <alignment horizontal="center"/>
    </xf>
    <xf numFmtId="49" fontId="58" fillId="0" borderId="0" xfId="63" applyNumberFormat="1" applyFont="1" applyFill="1"/>
    <xf numFmtId="167" fontId="1" fillId="45" borderId="0" xfId="0" applyNumberFormat="1" applyFont="1" applyFill="1" applyAlignment="1">
      <alignment horizontal="center" vertical="center"/>
    </xf>
    <xf numFmtId="0" fontId="1" fillId="0" borderId="0" xfId="63" applyFont="1" applyFill="1" applyAlignment="1">
      <alignment horizontal="center"/>
    </xf>
    <xf numFmtId="0" fontId="56" fillId="0" borderId="0" xfId="63" applyFont="1" applyFill="1" applyAlignment="1">
      <alignment horizontal="center"/>
    </xf>
    <xf numFmtId="0" fontId="0" fillId="0" borderId="0" xfId="0"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167" fontId="0" fillId="37" borderId="0" xfId="0" applyNumberFormat="1" applyFill="1" applyBorder="1" applyAlignment="1" applyProtection="1">
      <alignment horizontal="center" vertical="center"/>
      <protection locked="0" hidden="1"/>
    </xf>
    <xf numFmtId="0" fontId="2" fillId="2" borderId="134" xfId="0" applyFont="1" applyFill="1" applyBorder="1" applyAlignment="1" applyProtection="1">
      <alignment horizontal="center" vertical="center"/>
      <protection locked="0"/>
    </xf>
    <xf numFmtId="0" fontId="2" fillId="2" borderId="135" xfId="0" applyFont="1" applyFill="1" applyBorder="1" applyAlignment="1" applyProtection="1">
      <alignment horizontal="center" vertical="center"/>
      <protection locked="0"/>
    </xf>
    <xf numFmtId="0" fontId="2" fillId="2" borderId="136" xfId="0" applyFont="1" applyFill="1" applyBorder="1" applyAlignment="1" applyProtection="1">
      <alignment horizontal="center" vertical="center"/>
      <protection locked="0"/>
    </xf>
    <xf numFmtId="0" fontId="2" fillId="36" borderId="76" xfId="0" applyFont="1" applyFill="1" applyBorder="1" applyAlignment="1" applyProtection="1">
      <alignment horizontal="center" vertical="center"/>
      <protection locked="0"/>
    </xf>
    <xf numFmtId="0" fontId="1" fillId="0" borderId="47" xfId="0" applyFont="1" applyFill="1" applyBorder="1" applyAlignment="1" applyProtection="1">
      <alignment vertical="center"/>
    </xf>
    <xf numFmtId="0" fontId="1" fillId="0" borderId="61" xfId="0" applyFont="1" applyFill="1" applyBorder="1" applyAlignment="1" applyProtection="1">
      <alignment vertical="center"/>
    </xf>
    <xf numFmtId="1" fontId="2" fillId="36" borderId="64" xfId="0" applyNumberFormat="1" applyFont="1" applyFill="1" applyBorder="1" applyAlignment="1" applyProtection="1">
      <alignment horizontal="center" vertical="center"/>
      <protection locked="0" hidden="1"/>
    </xf>
    <xf numFmtId="49" fontId="1" fillId="0" borderId="4" xfId="63" applyNumberFormat="1" applyFont="1" applyBorder="1"/>
    <xf numFmtId="49" fontId="1" fillId="42" borderId="0" xfId="63" applyNumberFormat="1" applyFont="1" applyFill="1"/>
    <xf numFmtId="167" fontId="1" fillId="42" borderId="0" xfId="63" applyNumberFormat="1" applyFont="1" applyFill="1" applyAlignment="1">
      <alignment horizontal="center"/>
    </xf>
    <xf numFmtId="167" fontId="1" fillId="42" borderId="4" xfId="63" applyNumberFormat="1" applyFont="1" applyFill="1" applyBorder="1" applyAlignment="1">
      <alignment horizontal="center"/>
    </xf>
    <xf numFmtId="167" fontId="1" fillId="42" borderId="8" xfId="63" applyNumberFormat="1" applyFont="1" applyFill="1" applyBorder="1" applyAlignment="1">
      <alignment horizontal="center"/>
    </xf>
    <xf numFmtId="2" fontId="1" fillId="0" borderId="4" xfId="63" applyNumberFormat="1" applyFont="1" applyBorder="1" applyAlignment="1">
      <alignment horizontal="center"/>
    </xf>
    <xf numFmtId="2" fontId="1" fillId="0" borderId="9" xfId="63" applyNumberFormat="1" applyFont="1" applyBorder="1" applyAlignment="1">
      <alignment horizontal="center"/>
    </xf>
    <xf numFmtId="2" fontId="1" fillId="0" borderId="24" xfId="63" applyNumberFormat="1" applyFont="1" applyBorder="1" applyAlignment="1">
      <alignment horizontal="center"/>
    </xf>
    <xf numFmtId="2" fontId="7" fillId="42" borderId="12" xfId="63" applyNumberFormat="1" applyFont="1" applyFill="1" applyBorder="1" applyAlignment="1">
      <alignment horizontal="center"/>
    </xf>
    <xf numFmtId="0" fontId="1" fillId="0" borderId="0" xfId="63" applyFont="1" applyAlignment="1">
      <alignment horizontal="center"/>
    </xf>
    <xf numFmtId="0" fontId="1" fillId="0" borderId="0" xfId="0" applyFont="1"/>
    <xf numFmtId="0" fontId="1" fillId="0" borderId="0" xfId="63" applyFont="1"/>
    <xf numFmtId="1" fontId="2" fillId="36" borderId="86" xfId="0" applyNumberFormat="1" applyFont="1" applyFill="1" applyBorder="1" applyAlignment="1" applyProtection="1">
      <alignment horizontal="center" vertical="center"/>
      <protection locked="0"/>
    </xf>
    <xf numFmtId="0" fontId="2" fillId="0" borderId="137" xfId="0" applyFont="1" applyBorder="1" applyAlignment="1" applyProtection="1">
      <alignment vertical="center"/>
      <protection hidden="1"/>
    </xf>
    <xf numFmtId="1" fontId="2" fillId="36" borderId="41" xfId="0" applyNumberFormat="1" applyFont="1" applyFill="1" applyBorder="1" applyAlignment="1" applyProtection="1">
      <alignment horizontal="center" vertical="center"/>
      <protection locked="0"/>
    </xf>
    <xf numFmtId="1" fontId="2" fillId="36" borderId="69" xfId="0" applyNumberFormat="1" applyFont="1" applyFill="1" applyBorder="1" applyAlignment="1" applyProtection="1">
      <alignment horizontal="center" vertical="center"/>
      <protection locked="0"/>
    </xf>
    <xf numFmtId="1" fontId="2" fillId="36" borderId="138" xfId="0" applyNumberFormat="1" applyFont="1" applyFill="1" applyBorder="1" applyAlignment="1" applyProtection="1">
      <alignment horizontal="center" vertical="center"/>
      <protection locked="0"/>
    </xf>
    <xf numFmtId="49" fontId="9" fillId="37" borderId="4" xfId="63" applyNumberFormat="1" applyFont="1" applyFill="1" applyBorder="1"/>
    <xf numFmtId="49" fontId="9" fillId="37" borderId="0" xfId="63" applyNumberFormat="1" applyFont="1" applyFill="1" applyBorder="1"/>
    <xf numFmtId="166" fontId="1" fillId="37" borderId="12" xfId="63" applyNumberFormat="1" applyFont="1" applyFill="1" applyBorder="1" applyAlignment="1">
      <alignment horizontal="center"/>
    </xf>
    <xf numFmtId="2" fontId="1" fillId="37" borderId="23" xfId="63" applyNumberFormat="1" applyFont="1" applyFill="1" applyBorder="1" applyAlignment="1">
      <alignment horizontal="center"/>
    </xf>
    <xf numFmtId="2" fontId="1" fillId="37" borderId="8" xfId="63" applyNumberFormat="1" applyFont="1" applyFill="1" applyBorder="1" applyAlignment="1">
      <alignment horizontal="center"/>
    </xf>
    <xf numFmtId="2" fontId="1" fillId="37" borderId="24" xfId="63" applyNumberFormat="1" applyFont="1" applyFill="1" applyBorder="1" applyAlignment="1">
      <alignment horizontal="center"/>
    </xf>
    <xf numFmtId="167" fontId="56" fillId="48" borderId="23" xfId="63" applyNumberFormat="1" applyFont="1" applyFill="1" applyBorder="1" applyAlignment="1">
      <alignment horizontal="center"/>
    </xf>
    <xf numFmtId="0" fontId="56" fillId="48" borderId="8" xfId="63" applyFont="1" applyFill="1" applyBorder="1" applyAlignment="1">
      <alignment horizontal="center"/>
    </xf>
    <xf numFmtId="0" fontId="56" fillId="48" borderId="24" xfId="63" applyFont="1" applyFill="1" applyBorder="1" applyAlignment="1">
      <alignment horizontal="center"/>
    </xf>
    <xf numFmtId="0" fontId="56" fillId="37" borderId="12" xfId="63" applyFont="1" applyFill="1" applyBorder="1" applyAlignment="1">
      <alignment horizontal="center"/>
    </xf>
    <xf numFmtId="2" fontId="1" fillId="37" borderId="12" xfId="63" applyNumberFormat="1" applyFont="1" applyFill="1" applyBorder="1" applyAlignment="1">
      <alignment horizontal="center"/>
    </xf>
    <xf numFmtId="165" fontId="1" fillId="37" borderId="24" xfId="63" applyNumberFormat="1" applyFont="1" applyFill="1" applyBorder="1" applyAlignment="1">
      <alignment horizontal="center"/>
    </xf>
    <xf numFmtId="1" fontId="56" fillId="49" borderId="0" xfId="63" applyNumberFormat="1" applyFont="1" applyFill="1" applyBorder="1" applyAlignment="1">
      <alignment horizontal="center"/>
    </xf>
    <xf numFmtId="1" fontId="1" fillId="37" borderId="12" xfId="63" applyNumberFormat="1" applyFont="1" applyFill="1" applyBorder="1" applyAlignment="1">
      <alignment horizontal="center"/>
    </xf>
    <xf numFmtId="1" fontId="56" fillId="37" borderId="4" xfId="63" applyNumberFormat="1" applyFont="1" applyFill="1" applyBorder="1" applyAlignment="1">
      <alignment horizontal="center"/>
    </xf>
    <xf numFmtId="167" fontId="1" fillId="37" borderId="23" xfId="63" applyNumberFormat="1" applyFont="1" applyFill="1" applyBorder="1" applyAlignment="1">
      <alignment horizontal="center"/>
    </xf>
    <xf numFmtId="167" fontId="1" fillId="37" borderId="9" xfId="63" applyNumberFormat="1" applyFont="1" applyFill="1" applyBorder="1" applyAlignment="1">
      <alignment horizontal="center"/>
    </xf>
    <xf numFmtId="0" fontId="1" fillId="37" borderId="0" xfId="63" applyFont="1" applyFill="1" applyAlignment="1">
      <alignment horizontal="center"/>
    </xf>
    <xf numFmtId="167" fontId="1" fillId="37" borderId="8" xfId="63" applyNumberFormat="1" applyFont="1" applyFill="1" applyBorder="1" applyAlignment="1">
      <alignment horizontal="center"/>
    </xf>
    <xf numFmtId="167" fontId="1" fillId="37" borderId="25" xfId="63" applyNumberFormat="1" applyFont="1" applyFill="1" applyBorder="1" applyAlignment="1">
      <alignment horizontal="center"/>
    </xf>
    <xf numFmtId="1" fontId="9" fillId="37" borderId="0" xfId="63" applyNumberFormat="1" applyFont="1" applyFill="1" applyBorder="1" applyAlignment="1">
      <alignment horizontal="center"/>
    </xf>
    <xf numFmtId="0" fontId="2" fillId="0" borderId="0" xfId="0" applyFont="1" applyBorder="1" applyAlignment="1" applyProtection="1">
      <alignment horizontal="center" textRotation="90"/>
      <protection locked="0" hidden="1"/>
    </xf>
    <xf numFmtId="0" fontId="1" fillId="0" borderId="0" xfId="0" applyFont="1" applyBorder="1" applyAlignment="1" applyProtection="1">
      <alignment horizontal="center" textRotation="90"/>
      <protection locked="0" hidden="1"/>
    </xf>
    <xf numFmtId="0" fontId="2" fillId="36" borderId="98" xfId="0" applyFont="1" applyFill="1" applyBorder="1" applyAlignment="1" applyProtection="1">
      <alignment horizontal="center" vertical="center"/>
      <protection locked="0"/>
    </xf>
    <xf numFmtId="0" fontId="2" fillId="36" borderId="97" xfId="0" applyFont="1" applyFill="1" applyBorder="1" applyAlignment="1" applyProtection="1">
      <alignment horizontal="center" vertical="center"/>
      <protection locked="0"/>
    </xf>
    <xf numFmtId="0" fontId="2" fillId="36" borderId="73" xfId="0" applyFont="1" applyFill="1" applyBorder="1" applyAlignment="1" applyProtection="1">
      <alignment horizontal="center" vertical="center"/>
      <protection locked="0"/>
    </xf>
    <xf numFmtId="0" fontId="2" fillId="36" borderId="101" xfId="0" applyFont="1" applyFill="1" applyBorder="1" applyAlignment="1" applyProtection="1">
      <alignment horizontal="center" vertical="center"/>
      <protection locked="0"/>
    </xf>
    <xf numFmtId="0" fontId="2" fillId="36" borderId="100" xfId="0" applyFont="1" applyFill="1" applyBorder="1" applyAlignment="1" applyProtection="1">
      <alignment horizontal="center" vertical="center"/>
      <protection locked="0"/>
    </xf>
    <xf numFmtId="0" fontId="2" fillId="36" borderId="74" xfId="0" applyFont="1" applyFill="1" applyBorder="1" applyAlignment="1" applyProtection="1">
      <alignment horizontal="center" vertical="center"/>
      <protection locked="0"/>
    </xf>
    <xf numFmtId="0" fontId="2" fillId="36" borderId="103" xfId="0" applyFont="1" applyFill="1" applyBorder="1" applyAlignment="1" applyProtection="1">
      <alignment horizontal="center" vertical="center"/>
      <protection locked="0"/>
    </xf>
    <xf numFmtId="0" fontId="2" fillId="36" borderId="102" xfId="0" applyFont="1" applyFill="1" applyBorder="1" applyAlignment="1" applyProtection="1">
      <alignment horizontal="center" vertical="center"/>
      <protection locked="0"/>
    </xf>
    <xf numFmtId="0" fontId="2" fillId="36" borderId="75" xfId="0" applyFont="1" applyFill="1" applyBorder="1" applyAlignment="1" applyProtection="1">
      <alignment horizontal="center" vertical="center"/>
      <protection locked="0"/>
    </xf>
    <xf numFmtId="0" fontId="2" fillId="43" borderId="24" xfId="0" applyFont="1" applyFill="1" applyBorder="1" applyAlignment="1" applyProtection="1">
      <alignment horizontal="center" vertical="center"/>
    </xf>
    <xf numFmtId="0" fontId="2" fillId="43" borderId="0" xfId="0" applyFont="1" applyFill="1" applyBorder="1" applyAlignment="1" applyProtection="1">
      <alignment horizontal="center" vertical="center"/>
    </xf>
    <xf numFmtId="0" fontId="2" fillId="36" borderId="88" xfId="0" applyFont="1" applyFill="1" applyBorder="1" applyAlignment="1" applyProtection="1">
      <alignment horizontal="center" vertical="center"/>
      <protection locked="0"/>
    </xf>
    <xf numFmtId="0" fontId="2" fillId="36" borderId="70" xfId="0" applyFont="1" applyFill="1" applyBorder="1" applyAlignment="1" applyProtection="1">
      <alignment horizontal="center" vertical="center"/>
      <protection locked="0"/>
    </xf>
    <xf numFmtId="0" fontId="2" fillId="36" borderId="99"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43" borderId="13" xfId="0" applyFont="1" applyFill="1" applyBorder="1" applyAlignment="1" applyProtection="1">
      <alignment horizontal="center" vertical="center"/>
    </xf>
    <xf numFmtId="0" fontId="2" fillId="36" borderId="90" xfId="0" applyFont="1" applyFill="1" applyBorder="1" applyAlignment="1" applyProtection="1">
      <alignment horizontal="center" vertical="center"/>
      <protection locked="0"/>
    </xf>
    <xf numFmtId="0" fontId="2" fillId="36" borderId="72" xfId="0" applyFont="1" applyFill="1" applyBorder="1" applyAlignment="1" applyProtection="1">
      <alignment horizontal="center" vertical="center"/>
      <protection locked="0"/>
    </xf>
    <xf numFmtId="0" fontId="2" fillId="36" borderId="104" xfId="0" applyFont="1" applyFill="1" applyBorder="1" applyAlignment="1" applyProtection="1">
      <alignment horizontal="center" vertical="center"/>
      <protection locked="0"/>
    </xf>
    <xf numFmtId="0" fontId="2" fillId="36" borderId="89" xfId="0" applyFont="1" applyFill="1" applyBorder="1" applyAlignment="1" applyProtection="1">
      <alignment horizontal="center" vertical="center"/>
      <protection locked="0"/>
    </xf>
    <xf numFmtId="0" fontId="2" fillId="36" borderId="71" xfId="0" applyFont="1" applyFill="1" applyBorder="1" applyAlignment="1" applyProtection="1">
      <alignment horizontal="center" vertical="center"/>
      <protection locked="0"/>
    </xf>
    <xf numFmtId="0" fontId="2" fillId="36" borderId="84" xfId="0" applyFont="1" applyFill="1" applyBorder="1" applyAlignment="1" applyProtection="1">
      <alignment horizontal="center" vertical="center"/>
      <protection locked="0"/>
    </xf>
    <xf numFmtId="0" fontId="9" fillId="0" borderId="107" xfId="0" applyFont="1" applyBorder="1" applyAlignment="1" applyProtection="1">
      <alignment horizontal="left" vertical="center"/>
    </xf>
    <xf numFmtId="0" fontId="9" fillId="0" borderId="37" xfId="0" applyFont="1" applyBorder="1" applyAlignment="1" applyProtection="1">
      <alignment horizontal="left" vertical="center"/>
    </xf>
    <xf numFmtId="0" fontId="2" fillId="0" borderId="120" xfId="0" applyFont="1" applyFill="1" applyBorder="1" applyAlignment="1" applyProtection="1">
      <alignment horizontal="center" vertical="center"/>
    </xf>
    <xf numFmtId="0" fontId="2" fillId="0" borderId="109" xfId="0" applyFont="1" applyFill="1" applyBorder="1" applyAlignment="1" applyProtection="1">
      <alignment horizontal="center" vertical="center"/>
    </xf>
    <xf numFmtId="0" fontId="9" fillId="0" borderId="61" xfId="0" applyFont="1" applyBorder="1" applyAlignment="1" applyProtection="1">
      <alignment horizontal="left" vertical="center"/>
    </xf>
    <xf numFmtId="0" fontId="9" fillId="0" borderId="62" xfId="0" applyFont="1" applyBorder="1" applyAlignment="1" applyProtection="1">
      <alignment horizontal="left" vertical="center"/>
    </xf>
    <xf numFmtId="0" fontId="9" fillId="0" borderId="47" xfId="0" applyFont="1" applyBorder="1" applyAlignment="1" applyProtection="1">
      <alignment horizontal="left" vertical="center"/>
    </xf>
    <xf numFmtId="0" fontId="9" fillId="0" borderId="48" xfId="0" applyFont="1" applyBorder="1" applyAlignment="1" applyProtection="1">
      <alignment horizontal="left" vertical="center"/>
    </xf>
    <xf numFmtId="0" fontId="47" fillId="42" borderId="5" xfId="0" applyFont="1" applyFill="1" applyBorder="1" applyAlignment="1" applyProtection="1">
      <alignment horizontal="center" vertical="center" wrapText="1"/>
    </xf>
    <xf numFmtId="0" fontId="47" fillId="42" borderId="11" xfId="0" applyFont="1" applyFill="1" applyBorder="1" applyAlignment="1" applyProtection="1">
      <alignment horizontal="center" vertical="center" wrapText="1"/>
    </xf>
    <xf numFmtId="0" fontId="2" fillId="43" borderId="1" xfId="0" applyFont="1" applyFill="1" applyBorder="1" applyAlignment="1" applyProtection="1">
      <alignment horizontal="left" vertical="center"/>
    </xf>
    <xf numFmtId="0" fontId="2" fillId="43" borderId="5" xfId="0" applyFont="1" applyFill="1" applyBorder="1" applyAlignment="1" applyProtection="1">
      <alignment horizontal="left" vertical="center"/>
    </xf>
    <xf numFmtId="0" fontId="2" fillId="43" borderId="11" xfId="0" applyFont="1" applyFill="1" applyBorder="1" applyAlignment="1" applyProtection="1">
      <alignment horizontal="left" vertical="center"/>
    </xf>
    <xf numFmtId="0" fontId="2" fillId="0" borderId="54"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9" fillId="0" borderId="121"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22" xfId="0" applyFont="1" applyBorder="1" applyAlignment="1" applyProtection="1">
      <alignment horizontal="left" vertical="center"/>
    </xf>
    <xf numFmtId="0" fontId="9" fillId="0" borderId="36" xfId="0" applyFont="1" applyBorder="1" applyAlignment="1" applyProtection="1">
      <alignment horizontal="left" vertical="center"/>
    </xf>
    <xf numFmtId="0" fontId="12" fillId="0" borderId="36" xfId="0" applyFont="1" applyFill="1" applyBorder="1" applyAlignment="1" applyProtection="1">
      <alignment horizontal="left" vertical="center"/>
    </xf>
    <xf numFmtId="0" fontId="12" fillId="0" borderId="109"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12" fillId="0" borderId="60" xfId="0" applyFont="1" applyFill="1" applyBorder="1" applyAlignment="1" applyProtection="1">
      <alignment horizontal="left" vertical="center"/>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9" fillId="0" borderId="34" xfId="0" applyFont="1" applyFill="1" applyBorder="1" applyAlignment="1" applyProtection="1">
      <alignment horizontal="center" vertical="center"/>
      <protection locked="0" hidden="1"/>
    </xf>
    <xf numFmtId="0" fontId="9" fillId="0" borderId="31" xfId="0" applyFont="1" applyFill="1" applyBorder="1" applyAlignment="1" applyProtection="1">
      <alignment horizontal="center" vertical="center"/>
      <protection locked="0" hidden="1"/>
    </xf>
    <xf numFmtId="0" fontId="9" fillId="0" borderId="40" xfId="0" applyFont="1" applyFill="1" applyBorder="1" applyAlignment="1" applyProtection="1">
      <alignment horizontal="center" vertical="center"/>
      <protection locked="0" hidden="1"/>
    </xf>
    <xf numFmtId="0" fontId="0" fillId="0" borderId="4" xfId="0" applyFill="1" applyBorder="1" applyAlignment="1" applyProtection="1">
      <alignment horizontal="left" vertical="center"/>
    </xf>
    <xf numFmtId="0" fontId="0" fillId="0" borderId="0" xfId="0" applyFill="1" applyBorder="1" applyAlignment="1" applyProtection="1">
      <alignment horizontal="left" vertical="center"/>
    </xf>
    <xf numFmtId="0" fontId="9" fillId="0" borderId="24"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center" vertical="center"/>
      <protection locked="0" hidden="1"/>
    </xf>
    <xf numFmtId="0" fontId="9" fillId="0" borderId="13" xfId="0" applyFont="1" applyFill="1" applyBorder="1" applyAlignment="1" applyProtection="1">
      <alignment horizontal="center" vertical="center"/>
      <protection locked="0" hidden="1"/>
    </xf>
    <xf numFmtId="0" fontId="2" fillId="43" borderId="2" xfId="0" applyFont="1" applyFill="1" applyBorder="1" applyAlignment="1" applyProtection="1">
      <alignment horizontal="left" vertical="center"/>
    </xf>
    <xf numFmtId="0" fontId="2" fillId="43" borderId="3" xfId="0" applyFont="1" applyFill="1" applyBorder="1" applyAlignment="1" applyProtection="1">
      <alignment horizontal="left" vertical="center"/>
    </xf>
    <xf numFmtId="0" fontId="2" fillId="43" borderId="123" xfId="0" applyFont="1" applyFill="1" applyBorder="1" applyAlignment="1" applyProtection="1">
      <alignment horizontal="left" vertical="center"/>
    </xf>
    <xf numFmtId="0" fontId="2" fillId="43" borderId="4" xfId="0" applyFont="1" applyFill="1" applyBorder="1" applyAlignment="1" applyProtection="1">
      <alignment horizontal="left" vertical="center"/>
    </xf>
    <xf numFmtId="0" fontId="2" fillId="43" borderId="0" xfId="0" applyFont="1" applyFill="1" applyBorder="1" applyAlignment="1" applyProtection="1">
      <alignment horizontal="left" vertical="center"/>
    </xf>
    <xf numFmtId="0" fontId="2" fillId="43" borderId="13" xfId="0" applyFont="1" applyFill="1" applyBorder="1" applyAlignment="1" applyProtection="1">
      <alignment horizontal="left" vertical="center"/>
    </xf>
    <xf numFmtId="0" fontId="2" fillId="43" borderId="17" xfId="0" applyFont="1" applyFill="1" applyBorder="1" applyAlignment="1" applyProtection="1">
      <alignment horizontal="left" vertical="center"/>
    </xf>
    <xf numFmtId="0" fontId="2" fillId="43" borderId="18" xfId="0" applyFont="1" applyFill="1" applyBorder="1" applyAlignment="1" applyProtection="1">
      <alignment horizontal="left" vertical="center"/>
    </xf>
    <xf numFmtId="0" fontId="2" fillId="43" borderId="56" xfId="0" applyFont="1" applyFill="1" applyBorder="1" applyAlignment="1" applyProtection="1">
      <alignment horizontal="left" vertical="center"/>
    </xf>
    <xf numFmtId="0" fontId="9" fillId="0" borderId="0" xfId="0" applyFont="1" applyFill="1" applyBorder="1" applyAlignment="1" applyProtection="1">
      <alignment horizontal="center" vertical="center"/>
      <protection hidden="1"/>
    </xf>
    <xf numFmtId="0" fontId="0" fillId="0" borderId="24"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0" fillId="0" borderId="34" xfId="0" applyBorder="1" applyAlignment="1" applyProtection="1">
      <alignment horizontal="center" vertical="center"/>
      <protection locked="0" hidden="1"/>
    </xf>
    <xf numFmtId="0" fontId="0" fillId="0" borderId="31" xfId="0" applyBorder="1" applyAlignment="1" applyProtection="1">
      <alignment horizontal="center" vertical="center"/>
      <protection locked="0" hidden="1"/>
    </xf>
    <xf numFmtId="0" fontId="0" fillId="0" borderId="40" xfId="0"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0" fillId="0" borderId="13" xfId="0" applyFill="1" applyBorder="1" applyAlignment="1" applyProtection="1">
      <alignment horizontal="left" vertical="center"/>
    </xf>
    <xf numFmtId="0" fontId="9" fillId="0" borderId="39" xfId="0" applyFont="1" applyBorder="1" applyAlignment="1" applyProtection="1">
      <alignment horizontal="left" vertical="center"/>
    </xf>
    <xf numFmtId="0" fontId="25" fillId="0" borderId="60" xfId="0" applyFont="1" applyFill="1" applyBorder="1" applyAlignment="1" applyProtection="1">
      <alignment horizontal="left" vertical="center"/>
    </xf>
    <xf numFmtId="0" fontId="25" fillId="0" borderId="39" xfId="0" applyFont="1" applyFill="1" applyBorder="1" applyAlignment="1" applyProtection="1">
      <alignment horizontal="left" vertical="center"/>
    </xf>
    <xf numFmtId="0" fontId="2" fillId="43" borderId="62" xfId="0" applyFont="1" applyFill="1" applyBorder="1" applyAlignment="1" applyProtection="1">
      <alignment horizontal="center" vertical="center"/>
    </xf>
    <xf numFmtId="0" fontId="2" fillId="43" borderId="124" xfId="0" applyFont="1" applyFill="1" applyBorder="1" applyAlignment="1" applyProtection="1">
      <alignment horizontal="center" vertical="center"/>
    </xf>
    <xf numFmtId="0" fontId="0" fillId="0" borderId="26" xfId="0" applyFill="1" applyBorder="1" applyAlignment="1" applyProtection="1">
      <alignment horizontal="left" vertical="center"/>
      <protection hidden="1"/>
    </xf>
    <xf numFmtId="0" fontId="0" fillId="0" borderId="6" xfId="0" applyFill="1" applyBorder="1" applyAlignment="1" applyProtection="1">
      <alignment horizontal="left" vertical="center"/>
      <protection hidden="1"/>
    </xf>
    <xf numFmtId="0" fontId="9" fillId="0" borderId="4"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3" xfId="0" applyFont="1" applyBorder="1" applyAlignment="1" applyProtection="1">
      <alignment horizontal="left" vertical="center"/>
    </xf>
    <xf numFmtId="0" fontId="2" fillId="43" borderId="61" xfId="0" applyFont="1" applyFill="1" applyBorder="1" applyAlignment="1" applyProtection="1">
      <alignment horizontal="left" vertical="center"/>
    </xf>
    <xf numFmtId="0" fontId="2" fillId="43" borderId="62" xfId="0" applyFont="1" applyFill="1" applyBorder="1" applyAlignment="1" applyProtection="1">
      <alignment horizontal="left" vertical="center"/>
    </xf>
    <xf numFmtId="0" fontId="2" fillId="43" borderId="124" xfId="0" applyFont="1" applyFill="1" applyBorder="1" applyAlignment="1" applyProtection="1">
      <alignment horizontal="left" vertical="center"/>
    </xf>
    <xf numFmtId="0" fontId="17" fillId="43" borderId="61" xfId="0" applyFont="1" applyFill="1" applyBorder="1" applyAlignment="1" applyProtection="1">
      <alignment horizontal="left" vertical="center"/>
      <protection hidden="1"/>
    </xf>
    <xf numFmtId="0" fontId="17" fillId="43" borderId="62" xfId="0" applyFont="1" applyFill="1" applyBorder="1" applyAlignment="1" applyProtection="1">
      <alignment horizontal="left" vertical="center"/>
      <protection hidden="1"/>
    </xf>
    <xf numFmtId="0" fontId="17" fillId="43" borderId="124" xfId="0" applyFont="1" applyFill="1" applyBorder="1" applyAlignment="1" applyProtection="1">
      <alignment horizontal="left" vertical="center"/>
      <protection hidden="1"/>
    </xf>
    <xf numFmtId="0" fontId="3" fillId="0" borderId="0" xfId="0" applyFont="1" applyAlignment="1">
      <alignment horizontal="center" vertical="center"/>
    </xf>
    <xf numFmtId="0" fontId="54" fillId="0" borderId="0" xfId="0" applyFont="1" applyAlignment="1" applyProtection="1">
      <alignment horizontal="center" vertical="center"/>
      <protection hidden="1"/>
    </xf>
    <xf numFmtId="0" fontId="12" fillId="0" borderId="0" xfId="0" applyFont="1" applyBorder="1" applyAlignment="1" applyProtection="1">
      <alignment horizontal="center" vertical="center"/>
    </xf>
    <xf numFmtId="0" fontId="2" fillId="43" borderId="21" xfId="0" applyFont="1" applyFill="1" applyBorder="1" applyAlignment="1" applyProtection="1">
      <alignment horizontal="center" vertical="center"/>
    </xf>
    <xf numFmtId="0" fontId="2" fillId="43" borderId="18" xfId="0" applyFont="1" applyFill="1" applyBorder="1" applyAlignment="1" applyProtection="1">
      <alignment horizontal="center" vertical="center"/>
    </xf>
    <xf numFmtId="0" fontId="9" fillId="0" borderId="50" xfId="0" applyFont="1" applyBorder="1" applyAlignment="1" applyProtection="1">
      <alignment horizontal="left" vertical="center"/>
    </xf>
    <xf numFmtId="0" fontId="9" fillId="0" borderId="51" xfId="0" applyFont="1" applyBorder="1" applyAlignment="1" applyProtection="1">
      <alignment horizontal="left" vertical="center"/>
    </xf>
    <xf numFmtId="0" fontId="9" fillId="0" borderId="109" xfId="0" applyFont="1" applyBorder="1" applyAlignment="1" applyProtection="1">
      <alignment horizontal="left" vertical="center"/>
    </xf>
    <xf numFmtId="0" fontId="13" fillId="38" borderId="1" xfId="0" applyFont="1" applyFill="1" applyBorder="1" applyAlignment="1" applyProtection="1">
      <alignment horizontal="center" vertical="center"/>
    </xf>
    <xf numFmtId="0" fontId="13" fillId="38" borderId="5" xfId="0" applyFont="1" applyFill="1" applyBorder="1" applyAlignment="1" applyProtection="1">
      <alignment horizontal="center" vertical="center"/>
    </xf>
    <xf numFmtId="0" fontId="13" fillId="38" borderId="11" xfId="0" applyFont="1" applyFill="1" applyBorder="1" applyAlignment="1" applyProtection="1">
      <alignment horizontal="center" vertical="center"/>
    </xf>
    <xf numFmtId="49" fontId="1" fillId="2" borderId="62" xfId="0" applyNumberFormat="1" applyFont="1" applyFill="1" applyBorder="1" applyAlignment="1" applyProtection="1">
      <alignment horizontal="left" vertical="center"/>
      <protection locked="0"/>
    </xf>
    <xf numFmtId="49" fontId="0" fillId="2" borderId="62" xfId="0" applyNumberFormat="1" applyFill="1" applyBorder="1" applyAlignment="1" applyProtection="1">
      <alignment horizontal="left" vertical="center"/>
      <protection locked="0"/>
    </xf>
    <xf numFmtId="0" fontId="2" fillId="43" borderId="9" xfId="0" applyFont="1" applyFill="1" applyBorder="1" applyAlignment="1" applyProtection="1">
      <alignment horizontal="center" vertical="center"/>
    </xf>
    <xf numFmtId="0" fontId="2" fillId="43" borderId="2" xfId="0" applyFont="1" applyFill="1" applyBorder="1" applyAlignment="1" applyProtection="1">
      <alignment horizontal="center" vertical="center"/>
    </xf>
    <xf numFmtId="0" fontId="2" fillId="43" borderId="16" xfId="0" applyFont="1" applyFill="1" applyBorder="1" applyAlignment="1" applyProtection="1">
      <alignment horizontal="center" vertical="center"/>
    </xf>
    <xf numFmtId="0" fontId="49" fillId="0" borderId="0" xfId="0" applyFont="1" applyAlignment="1" applyProtection="1">
      <alignment horizontal="center" vertical="center"/>
    </xf>
    <xf numFmtId="49" fontId="1" fillId="2" borderId="6" xfId="0" applyNumberFormat="1" applyFon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0" fontId="2" fillId="43" borderId="106" xfId="0" applyFont="1" applyFill="1" applyBorder="1" applyAlignment="1" applyProtection="1">
      <alignment horizontal="center" vertical="center"/>
    </xf>
    <xf numFmtId="0" fontId="2" fillId="43" borderId="3" xfId="0" applyFont="1" applyFill="1" applyBorder="1" applyAlignment="1" applyProtection="1">
      <alignment horizontal="center" vertical="center"/>
    </xf>
    <xf numFmtId="0" fontId="9" fillId="0" borderId="121" xfId="0" applyFont="1" applyFill="1" applyBorder="1" applyAlignment="1" applyProtection="1">
      <alignment horizontal="left" vertical="center"/>
      <protection hidden="1"/>
    </xf>
    <xf numFmtId="0" fontId="9" fillId="0" borderId="7" xfId="0" applyFont="1" applyFill="1" applyBorder="1" applyAlignment="1" applyProtection="1">
      <alignment horizontal="left" vertical="center"/>
      <protection hidden="1"/>
    </xf>
    <xf numFmtId="0" fontId="9" fillId="0" borderId="122" xfId="0" applyFont="1" applyFill="1" applyBorder="1" applyAlignment="1" applyProtection="1">
      <alignment horizontal="left" vertical="center"/>
      <protection hidden="1"/>
    </xf>
    <xf numFmtId="0" fontId="9" fillId="0" borderId="36" xfId="0" applyFont="1" applyFill="1" applyBorder="1" applyAlignment="1" applyProtection="1">
      <alignment horizontal="left" vertical="center"/>
      <protection hidden="1"/>
    </xf>
    <xf numFmtId="0" fontId="9" fillId="0" borderId="59" xfId="43" applyFont="1" applyBorder="1" applyAlignment="1" applyProtection="1">
      <alignment horizontal="center" vertical="center"/>
    </xf>
    <xf numFmtId="0" fontId="9" fillId="0" borderId="6" xfId="43" applyFont="1" applyBorder="1" applyAlignment="1" applyProtection="1">
      <alignment horizontal="center" vertical="center"/>
    </xf>
    <xf numFmtId="0" fontId="9" fillId="0" borderId="10" xfId="43" applyFont="1" applyBorder="1" applyAlignment="1" applyProtection="1">
      <alignment horizontal="center" vertical="center"/>
    </xf>
    <xf numFmtId="0" fontId="0" fillId="0" borderId="4"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1" fillId="0" borderId="0" xfId="0" applyFont="1" applyAlignment="1" applyProtection="1">
      <alignment horizontal="center" vertical="center"/>
      <protection locked="0" hidden="1"/>
    </xf>
    <xf numFmtId="0" fontId="9" fillId="0" borderId="107" xfId="43" applyFont="1" applyFill="1" applyBorder="1" applyAlignment="1" applyProtection="1">
      <alignment horizontal="left" vertical="center"/>
    </xf>
    <xf numFmtId="0" fontId="9" fillId="0" borderId="37" xfId="43" applyFont="1" applyFill="1" applyBorder="1" applyAlignment="1" applyProtection="1">
      <alignment horizontal="left" vertical="center"/>
    </xf>
    <xf numFmtId="0" fontId="9" fillId="0" borderId="60" xfId="0" applyFont="1" applyBorder="1" applyAlignment="1" applyProtection="1">
      <alignment horizontal="left" vertical="center"/>
    </xf>
    <xf numFmtId="0" fontId="2" fillId="43" borderId="123" xfId="0" applyFont="1" applyFill="1" applyBorder="1" applyAlignment="1" applyProtection="1">
      <alignment horizontal="center" vertical="center"/>
    </xf>
    <xf numFmtId="0" fontId="13" fillId="42" borderId="1" xfId="0" applyFont="1" applyFill="1" applyBorder="1" applyAlignment="1" applyProtection="1">
      <alignment horizontal="left" vertical="center"/>
    </xf>
    <xf numFmtId="0" fontId="13" fillId="42" borderId="5" xfId="0" applyFont="1" applyFill="1" applyBorder="1" applyAlignment="1" applyProtection="1">
      <alignment horizontal="left" vertical="center"/>
    </xf>
    <xf numFmtId="0" fontId="13" fillId="42" borderId="11" xfId="0" applyFont="1" applyFill="1" applyBorder="1" applyAlignment="1" applyProtection="1">
      <alignment horizontal="left" vertical="center"/>
    </xf>
    <xf numFmtId="0" fontId="9" fillId="0" borderId="53" xfId="0" applyFont="1" applyBorder="1" applyAlignment="1" applyProtection="1">
      <alignment horizontal="left" vertical="center"/>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0" fontId="12" fillId="0" borderId="51" xfId="0" applyFont="1" applyFill="1" applyBorder="1" applyAlignment="1" applyProtection="1">
      <alignment horizontal="left" vertical="center"/>
    </xf>
    <xf numFmtId="0" fontId="12" fillId="0" borderId="53" xfId="0" applyFont="1" applyFill="1" applyBorder="1" applyAlignment="1" applyProtection="1">
      <alignment horizontal="left" vertic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6"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6" xfId="0" applyFont="1" applyBorder="1" applyAlignment="1">
      <alignment horizontal="center"/>
    </xf>
    <xf numFmtId="0" fontId="9" fillId="0" borderId="5" xfId="0" applyFont="1"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9" fillId="0" borderId="1" xfId="0" applyFont="1" applyBorder="1" applyAlignment="1">
      <alignment horizontal="center"/>
    </xf>
    <xf numFmtId="0" fontId="9" fillId="0" borderId="11" xfId="0" applyFont="1" applyBorder="1" applyAlignment="1">
      <alignment horizontal="center"/>
    </xf>
    <xf numFmtId="0" fontId="0" fillId="0" borderId="1" xfId="0" applyBorder="1" applyAlignment="1">
      <alignment horizontal="center"/>
    </xf>
    <xf numFmtId="0" fontId="4" fillId="0" borderId="0" xfId="0" applyFont="1" applyFill="1" applyBorder="1" applyAlignment="1" applyProtection="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9" fillId="0" borderId="0" xfId="0" applyFont="1" applyFill="1" applyAlignment="1">
      <alignment horizontal="center"/>
    </xf>
    <xf numFmtId="0" fontId="9" fillId="37" borderId="34" xfId="0" applyFont="1" applyFill="1" applyBorder="1" applyAlignment="1">
      <alignment horizontal="center"/>
    </xf>
    <xf numFmtId="0" fontId="9" fillId="37" borderId="31" xfId="0" applyFont="1" applyFill="1" applyBorder="1" applyAlignment="1">
      <alignment horizontal="center"/>
    </xf>
    <xf numFmtId="0" fontId="9" fillId="37" borderId="40" xfId="0" applyFont="1" applyFill="1" applyBorder="1" applyAlignment="1">
      <alignment horizontal="center"/>
    </xf>
    <xf numFmtId="0" fontId="9" fillId="37" borderId="24" xfId="0" applyFont="1" applyFill="1" applyBorder="1" applyAlignment="1">
      <alignment horizontal="center"/>
    </xf>
    <xf numFmtId="0" fontId="9" fillId="37" borderId="0" xfId="0" applyFont="1" applyFill="1" applyBorder="1" applyAlignment="1">
      <alignment horizontal="center"/>
    </xf>
    <xf numFmtId="0" fontId="9" fillId="37" borderId="13" xfId="0" applyFont="1" applyFill="1" applyBorder="1" applyAlignment="1">
      <alignment horizontal="center"/>
    </xf>
    <xf numFmtId="0" fontId="2" fillId="37" borderId="0" xfId="63" applyFont="1" applyFill="1" applyBorder="1" applyAlignment="1">
      <alignment horizontal="center"/>
    </xf>
    <xf numFmtId="0" fontId="2" fillId="37" borderId="9" xfId="63" applyFont="1" applyFill="1" applyBorder="1" applyAlignment="1">
      <alignment horizontal="center"/>
    </xf>
    <xf numFmtId="0" fontId="2" fillId="0" borderId="2" xfId="63" applyFont="1" applyFill="1" applyBorder="1" applyAlignment="1">
      <alignment horizontal="center"/>
    </xf>
    <xf numFmtId="0" fontId="2" fillId="0" borderId="3" xfId="63" applyFont="1" applyFill="1" applyBorder="1" applyAlignment="1">
      <alignment horizontal="center"/>
    </xf>
    <xf numFmtId="0" fontId="2" fillId="0" borderId="16" xfId="63" applyFont="1" applyFill="1" applyBorder="1" applyAlignment="1">
      <alignment horizontal="center"/>
    </xf>
    <xf numFmtId="0" fontId="2" fillId="37" borderId="3" xfId="63" applyFont="1" applyFill="1" applyBorder="1" applyAlignment="1">
      <alignment horizontal="center" vertical="center"/>
    </xf>
    <xf numFmtId="0" fontId="2" fillId="37" borderId="16" xfId="63" applyFont="1" applyFill="1" applyBorder="1" applyAlignment="1">
      <alignment horizontal="center" vertical="center"/>
    </xf>
    <xf numFmtId="0" fontId="2" fillId="0" borderId="4" xfId="63" applyFont="1" applyFill="1" applyBorder="1" applyAlignment="1">
      <alignment horizontal="center"/>
    </xf>
    <xf numFmtId="0" fontId="2" fillId="0" borderId="0" xfId="63" applyFont="1" applyFill="1" applyBorder="1" applyAlignment="1">
      <alignment horizontal="center"/>
    </xf>
    <xf numFmtId="0" fontId="2" fillId="0" borderId="9" xfId="63" applyFont="1" applyFill="1" applyBorder="1" applyAlignment="1">
      <alignment horizontal="center"/>
    </xf>
    <xf numFmtId="0" fontId="2" fillId="37" borderId="0" xfId="63" applyFont="1" applyFill="1" applyBorder="1" applyAlignment="1">
      <alignment horizontal="center" vertical="center"/>
    </xf>
    <xf numFmtId="0" fontId="2" fillId="37" borderId="9" xfId="63" applyFont="1" applyFill="1" applyBorder="1" applyAlignment="1">
      <alignment horizontal="center" vertical="center"/>
    </xf>
  </cellXfs>
  <cellStyles count="7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2" xfId="31" xr:uid="{00000000-0005-0000-0000-00001E000000}"/>
    <cellStyle name="Komma 3" xfId="32" xr:uid="{00000000-0005-0000-0000-00001F000000}"/>
    <cellStyle name="Neutral" xfId="33" builtinId="28" customBuiltin="1"/>
    <cellStyle name="Notiz 2" xfId="34" xr:uid="{00000000-0005-0000-0000-000021000000}"/>
    <cellStyle name="Prozent" xfId="35" builtinId="5"/>
    <cellStyle name="Prozent 2" xfId="36" xr:uid="{00000000-0005-0000-0000-000023000000}"/>
    <cellStyle name="Prozent 2 2" xfId="37" xr:uid="{00000000-0005-0000-0000-000024000000}"/>
    <cellStyle name="Prozent 3" xfId="38" xr:uid="{00000000-0005-0000-0000-000025000000}"/>
    <cellStyle name="Prozent 4" xfId="39" xr:uid="{00000000-0005-0000-0000-000026000000}"/>
    <cellStyle name="Prozent 4 2" xfId="40" xr:uid="{00000000-0005-0000-0000-000027000000}"/>
    <cellStyle name="Prozent 5" xfId="41" xr:uid="{00000000-0005-0000-0000-000028000000}"/>
    <cellStyle name="Schlecht" xfId="42" builtinId="27" customBuiltin="1"/>
    <cellStyle name="Standard" xfId="0" builtinId="0"/>
    <cellStyle name="Standard 2" xfId="43" xr:uid="{00000000-0005-0000-0000-00002B000000}"/>
    <cellStyle name="Standard 2 2" xfId="44" xr:uid="{00000000-0005-0000-0000-00002C000000}"/>
    <cellStyle name="Standard 2 3" xfId="45" xr:uid="{00000000-0005-0000-0000-00002D000000}"/>
    <cellStyle name="Standard 2 3 2" xfId="46" xr:uid="{00000000-0005-0000-0000-00002E000000}"/>
    <cellStyle name="Standard 2 3 2 2" xfId="47" xr:uid="{00000000-0005-0000-0000-00002F000000}"/>
    <cellStyle name="Standard 2 3 2 3" xfId="48" xr:uid="{00000000-0005-0000-0000-000030000000}"/>
    <cellStyle name="Standard 2 3 2 4" xfId="49" xr:uid="{00000000-0005-0000-0000-000031000000}"/>
    <cellStyle name="Standard 2 3 2 4 2" xfId="50" xr:uid="{00000000-0005-0000-0000-000032000000}"/>
    <cellStyle name="Standard 2 3 3" xfId="51" xr:uid="{00000000-0005-0000-0000-000033000000}"/>
    <cellStyle name="Standard 2 3 4" xfId="52" xr:uid="{00000000-0005-0000-0000-000034000000}"/>
    <cellStyle name="Standard 2 3 5" xfId="53" xr:uid="{00000000-0005-0000-0000-000035000000}"/>
    <cellStyle name="Standard 2 4" xfId="54" xr:uid="{00000000-0005-0000-0000-000036000000}"/>
    <cellStyle name="Standard 2 4 2" xfId="55" xr:uid="{00000000-0005-0000-0000-000037000000}"/>
    <cellStyle name="Standard 2 4 3" xfId="56" xr:uid="{00000000-0005-0000-0000-000038000000}"/>
    <cellStyle name="Standard 2 4 4" xfId="57" xr:uid="{00000000-0005-0000-0000-000039000000}"/>
    <cellStyle name="Standard 2 4 4 2" xfId="58" xr:uid="{00000000-0005-0000-0000-00003A000000}"/>
    <cellStyle name="Standard 2 5" xfId="59" xr:uid="{00000000-0005-0000-0000-00003B000000}"/>
    <cellStyle name="Standard 2 6" xfId="60" xr:uid="{00000000-0005-0000-0000-00003C000000}"/>
    <cellStyle name="Standard 2 7" xfId="61" xr:uid="{00000000-0005-0000-0000-00003D000000}"/>
    <cellStyle name="Standard 2 8" xfId="62" xr:uid="{00000000-0005-0000-0000-00003E000000}"/>
    <cellStyle name="Standard 3" xfId="63" xr:uid="{00000000-0005-0000-0000-00003F000000}"/>
    <cellStyle name="Standard 3 2" xfId="64" xr:uid="{00000000-0005-0000-0000-000040000000}"/>
    <cellStyle name="Standard 4" xfId="65" xr:uid="{00000000-0005-0000-0000-000041000000}"/>
    <cellStyle name="Überschrift" xfId="66" builtinId="15" customBuiltin="1"/>
    <cellStyle name="Überschrift 1" xfId="67" builtinId="16" customBuiltin="1"/>
    <cellStyle name="Überschrift 2" xfId="68" builtinId="17" customBuiltin="1"/>
    <cellStyle name="Überschrift 3" xfId="69" builtinId="18" customBuiltin="1"/>
    <cellStyle name="Überschrift 4" xfId="70" builtinId="19" customBuiltin="1"/>
    <cellStyle name="Verknüpfte Zelle" xfId="71" builtinId="24" customBuiltin="1"/>
    <cellStyle name="Warnender Text" xfId="72" builtinId="11" customBuiltin="1"/>
    <cellStyle name="Zelle überprüfen" xfId="73" builtinId="23" customBuiltin="1"/>
  </cellStyles>
  <dxfs count="0"/>
  <tableStyles count="0" defaultTableStyle="TableStyleMedium9" defaultPivotStyle="PivotStyleLight16"/>
  <colors>
    <mruColors>
      <color rgb="FFFFFF99"/>
      <color rgb="FFEE1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16" fmlaLink="$BG$26" fmlaRange="Tiere!$B$30:$B$87" noThreeD="1" sel="1" val="2"/>
</file>

<file path=xl/ctrlProps/ctrlProp2.xml><?xml version="1.0" encoding="utf-8"?>
<formControlPr xmlns="http://schemas.microsoft.com/office/spreadsheetml/2009/9/main" objectType="Drop" dropLines="15" dropStyle="combo" dx="16" fmlaLink="$BG$27" fmlaRange="Tiere!$B$30:$B$87" noThreeD="1" sel="1" val="43"/>
</file>

<file path=xl/ctrlProps/ctrlProp3.xml><?xml version="1.0" encoding="utf-8"?>
<formControlPr xmlns="http://schemas.microsoft.com/office/spreadsheetml/2009/9/main" objectType="Drop" dropLines="15" dropStyle="combo" dx="16" fmlaLink="$BG$28" fmlaRange="Tiere!$B$30:$B$87" noThreeD="1" sel="1" val="0"/>
</file>

<file path=xl/ctrlProps/ctrlProp4.xml><?xml version="1.0" encoding="utf-8"?>
<formControlPr xmlns="http://schemas.microsoft.com/office/spreadsheetml/2009/9/main" objectType="Drop" dropLines="15" dropStyle="combo" dx="16" fmlaLink="$BG$29" fmlaRange="Tiere!$B$30:$B$87" noThreeD="1" sel="1" val="36"/>
</file>

<file path=xl/ctrlProps/ctrlProp5.xml><?xml version="1.0" encoding="utf-8"?>
<formControlPr xmlns="http://schemas.microsoft.com/office/spreadsheetml/2009/9/main" objectType="Drop" dropLines="15" dropStyle="combo" dx="16" fmlaLink="$BG$30" fmlaRange="Tiere!$B$30:$B$87" noThreeD="1" sel="1" val="21"/>
</file>

<file path=xl/ctrlProps/ctrlProp6.xml><?xml version="1.0" encoding="utf-8"?>
<formControlPr xmlns="http://schemas.microsoft.com/office/spreadsheetml/2009/9/main" objectType="Drop" dropLines="15" dropStyle="combo" dx="16" fmlaLink="$BG$31" fmlaRange="Tiere!$B$30:$B$87" noThreeD="1" sel="1" val="38"/>
</file>

<file path=xl/ctrlProps/ctrlProp7.xml><?xml version="1.0" encoding="utf-8"?>
<formControlPr xmlns="http://schemas.microsoft.com/office/spreadsheetml/2009/9/main" objectType="Drop" dropLines="15" dropStyle="combo" dx="16" fmlaLink="$BG$32" fmlaRange="Tiere!$B$30:$B$87" noThreeD="1" sel="1" val="0"/>
</file>

<file path=xl/ctrlProps/ctrlProp8.xml><?xml version="1.0" encoding="utf-8"?>
<formControlPr xmlns="http://schemas.microsoft.com/office/spreadsheetml/2009/9/main" objectType="Drop" dropLines="15" dropStyle="combo" dx="16" fmlaLink="$BG$33" fmlaRange="Tiere!$B$30:$B$87" noThreeD="1" sel="1" val="0"/>
</file>

<file path=xl/ctrlProps/ctrlProp9.xml><?xml version="1.0" encoding="utf-8"?>
<formControlPr xmlns="http://schemas.microsoft.com/office/spreadsheetml/2009/9/main" objectType="Drop" dropLines="15" dropStyle="combo" dx="16" fmlaLink="$BG$34" fmlaRange="Tiere!$B$30:$B$87" noThreeD="1" sel="1" val="0"/>
</file>

<file path=xl/ctrlProps/ctrlProp10.xml><?xml version="1.0" encoding="utf-8"?>
<formControlPr xmlns="http://schemas.microsoft.com/office/spreadsheetml/2009/9/main" objectType="Drop" dropLines="15" dropStyle="combo" dx="16" fmlaLink="$BG$35" fmlaRange="Tiere!$B$30:$B$87" noThreeD="1" sel="1" val="0"/>
</file>

<file path=xl/ctrlProps/ctrlProp11.xml><?xml version="1.0" encoding="utf-8"?>
<formControlPr xmlns="http://schemas.microsoft.com/office/spreadsheetml/2009/9/main" objectType="Drop" dropLines="15" dropStyle="combo" dx="16" fmlaLink="$BG$36" fmlaRange="Tiere!$B$30:$B$87" noThreeD="1" sel="1" val="0"/>
</file>

<file path=xl/ctrlProps/ctrlProp12.xml><?xml version="1.0" encoding="utf-8"?>
<formControlPr xmlns="http://schemas.microsoft.com/office/spreadsheetml/2009/9/main" objectType="Drop" dropStyle="combo" dx="16" fmlaLink="$BH$25" fmlaRange="Stroh!$B$2:$B$4" noThreeD="1" sel="1" val="0"/>
</file>

<file path=xl/ctrlProps/ctrlProp13.xml><?xml version="1.0" encoding="utf-8"?>
<formControlPr xmlns="http://schemas.microsoft.com/office/spreadsheetml/2009/9/main" objectType="Drop" dropLines="15" dropStyle="combo" dx="16" fmlaLink="$BG$25" fmlaRange="Tiere!$B$30:$B$87" noThreeD="1" sel="1" val="2"/>
</file>

<file path=xl/ctrlProps/ctrlProp14.xml><?xml version="1.0" encoding="utf-8"?>
<formControlPr xmlns="http://schemas.microsoft.com/office/spreadsheetml/2009/9/main" objectType="Drop" dropStyle="combo" dx="16" fmlaLink="$BH$26" fmlaRange="Stroh!$B$2:$B$4" noThreeD="1" sel="1" val="0"/>
</file>

<file path=xl/ctrlProps/ctrlProp15.xml><?xml version="1.0" encoding="utf-8"?>
<formControlPr xmlns="http://schemas.microsoft.com/office/spreadsheetml/2009/9/main" objectType="Drop" dropStyle="combo" dx="16" fmlaLink="$BH$27" fmlaRange="Stroh!$B$2:$B$4" noThreeD="1" sel="1" val="0"/>
</file>

<file path=xl/ctrlProps/ctrlProp16.xml><?xml version="1.0" encoding="utf-8"?>
<formControlPr xmlns="http://schemas.microsoft.com/office/spreadsheetml/2009/9/main" objectType="Drop" dropStyle="combo" dx="16" fmlaLink="$BH$28" fmlaRange="Stroh!$B$2:$B$4" noThreeD="1" sel="1" val="0"/>
</file>

<file path=xl/ctrlProps/ctrlProp17.xml><?xml version="1.0" encoding="utf-8"?>
<formControlPr xmlns="http://schemas.microsoft.com/office/spreadsheetml/2009/9/main" objectType="Drop" dropStyle="combo" dx="16" fmlaLink="$BH$29" fmlaRange="Stroh!$B$2:$B$4" noThreeD="1" sel="1" val="0"/>
</file>

<file path=xl/ctrlProps/ctrlProp18.xml><?xml version="1.0" encoding="utf-8"?>
<formControlPr xmlns="http://schemas.microsoft.com/office/spreadsheetml/2009/9/main" objectType="Drop" dropStyle="combo" dx="16" fmlaLink="$BH$30" fmlaRange="Stroh!$B$2:$B$4" noThreeD="1" sel="1" val="0"/>
</file>

<file path=xl/ctrlProps/ctrlProp19.xml><?xml version="1.0" encoding="utf-8"?>
<formControlPr xmlns="http://schemas.microsoft.com/office/spreadsheetml/2009/9/main" objectType="Drop" dropStyle="combo" dx="16" fmlaLink="$BH$31" fmlaRange="Stroh!$B$2:$B$4" noThreeD="1" sel="1" val="0"/>
</file>

<file path=xl/ctrlProps/ctrlProp20.xml><?xml version="1.0" encoding="utf-8"?>
<formControlPr xmlns="http://schemas.microsoft.com/office/spreadsheetml/2009/9/main" objectType="Drop" dropStyle="combo" dx="16" fmlaLink="$BH$32" fmlaRange="Stroh!$B$2:$B$4" noThreeD="1" sel="1" val="0"/>
</file>

<file path=xl/ctrlProps/ctrlProp21.xml><?xml version="1.0" encoding="utf-8"?>
<formControlPr xmlns="http://schemas.microsoft.com/office/spreadsheetml/2009/9/main" objectType="Drop" dropStyle="combo" dx="16" fmlaLink="$BH$33" fmlaRange="Stroh!$B$2:$B$4" noThreeD="1" sel="1" val="0"/>
</file>

<file path=xl/ctrlProps/ctrlProp22.xml><?xml version="1.0" encoding="utf-8"?>
<formControlPr xmlns="http://schemas.microsoft.com/office/spreadsheetml/2009/9/main" objectType="Drop" dropStyle="combo" dx="16" fmlaLink="$BH$34" fmlaRange="Stroh!$B$2:$B$4" noThreeD="1" sel="1" val="0"/>
</file>

<file path=xl/ctrlProps/ctrlProp23.xml><?xml version="1.0" encoding="utf-8"?>
<formControlPr xmlns="http://schemas.microsoft.com/office/spreadsheetml/2009/9/main" objectType="Drop" dropStyle="combo" dx="16" fmlaLink="$BH$35" fmlaRange="Stroh!$B$2:$B$4" noThreeD="1" sel="1" val="0"/>
</file>

<file path=xl/ctrlProps/ctrlProp24.xml><?xml version="1.0" encoding="utf-8"?>
<formControlPr xmlns="http://schemas.microsoft.com/office/spreadsheetml/2009/9/main" objectType="Drop" dropStyle="combo" dx="16" fmlaLink="$BH$36" fmlaRange="Stroh!$B$2:$B$4" noThreeD="1" sel="1" val="0"/>
</file>

<file path=xl/ctrlProps/ctrlProp25.xml><?xml version="1.0" encoding="utf-8"?>
<formControlPr xmlns="http://schemas.microsoft.com/office/spreadsheetml/2009/9/main" objectType="Drop" dropLines="3" dropStyle="combo" dx="16" fmlaLink="$U$117" fmlaRange="$R$116:$R$118" noThreeD="1" sel="1" val="0"/>
</file>

<file path=xl/ctrlProps/ctrlProp26.xml><?xml version="1.0" encoding="utf-8"?>
<formControlPr xmlns="http://schemas.microsoft.com/office/spreadsheetml/2009/9/main" objectType="Drop" dropLines="3" dropStyle="combo" dx="16" fmlaLink="$U$118" fmlaRange="$R$116:$R$118" noThreeD="1" sel="1" val="0"/>
</file>

<file path=xl/ctrlProps/ctrlProp27.xml><?xml version="1.0" encoding="utf-8"?>
<formControlPr xmlns="http://schemas.microsoft.com/office/spreadsheetml/2009/9/main" objectType="Drop" dropLines="3" dropStyle="combo" dx="16" fmlaLink="$U$119" fmlaRange="$R$116:$R$118" noThreeD="1" sel="1" val="0"/>
</file>

<file path=xl/ctrlProps/ctrlProp28.xml><?xml version="1.0" encoding="utf-8"?>
<formControlPr xmlns="http://schemas.microsoft.com/office/spreadsheetml/2009/9/main" objectType="Drop" dropLines="3" dropStyle="combo" dx="16" fmlaLink="$U$120" fmlaRange="$R$116:$R$118" noThreeD="1" sel="1" val="0"/>
</file>

<file path=xl/ctrlProps/ctrlProp29.xml><?xml version="1.0" encoding="utf-8"?>
<formControlPr xmlns="http://schemas.microsoft.com/office/spreadsheetml/2009/9/main" objectType="Drop" dropStyle="combo" dx="22" fmlaLink="$M$5" fmlaRange="Stroh!$B$7:$B$8" noThreeD="1" sel="1" val="0"/>
</file>

<file path=xl/ctrlProps/ctrlProp30.xml><?xml version="1.0" encoding="utf-8"?>
<formControlPr xmlns="http://schemas.microsoft.com/office/spreadsheetml/2009/9/main" objectType="Drop" dropLines="5" dropStyle="combo" dx="16" fmlaLink="'Abweichende Werte'!$T$7" fmlaRange="Tiere!$D$91:$D$95" noThreeD="1" sel="1" val="0"/>
</file>

<file path=xl/ctrlProps/ctrlProp31.xml><?xml version="1.0" encoding="utf-8"?>
<formControlPr xmlns="http://schemas.microsoft.com/office/spreadsheetml/2009/9/main" objectType="Drop" dropLines="5" dropStyle="combo" dx="16" fmlaLink="$T$8" fmlaRange="Tiere!$D$91:$D$95" noThreeD="1" sel="1" val="0"/>
</file>

<file path=xl/ctrlProps/ctrlProp32.xml><?xml version="1.0" encoding="utf-8"?>
<formControlPr xmlns="http://schemas.microsoft.com/office/spreadsheetml/2009/9/main" objectType="Drop" dropStyle="combo" dx="16" fmlaLink="'Abweichende Werte'!$T$9" fmlaRange="Tiere!$D$91:$D$95" noThreeD="1" sel="1" val="0"/>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24</xdr:row>
          <xdr:rowOff>190500</xdr:rowOff>
        </xdr:from>
        <xdr:to>
          <xdr:col>2</xdr:col>
          <xdr:colOff>845820</xdr:colOff>
          <xdr:row>25</xdr:row>
          <xdr:rowOff>190500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25</xdr:row>
          <xdr:rowOff>182880</xdr:rowOff>
        </xdr:from>
        <xdr:to>
          <xdr:col>2</xdr:col>
          <xdr:colOff>845820</xdr:colOff>
          <xdr:row>26</xdr:row>
          <xdr:rowOff>182880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26</xdr:row>
          <xdr:rowOff>182880</xdr:rowOff>
        </xdr:from>
        <xdr:to>
          <xdr:col>2</xdr:col>
          <xdr:colOff>845820</xdr:colOff>
          <xdr:row>27</xdr:row>
          <xdr:rowOff>182880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182880</xdr:rowOff>
        </xdr:from>
        <xdr:to>
          <xdr:col>2</xdr:col>
          <xdr:colOff>845820</xdr:colOff>
          <xdr:row>28</xdr:row>
          <xdr:rowOff>182880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28</xdr:row>
          <xdr:rowOff>182880</xdr:rowOff>
        </xdr:from>
        <xdr:to>
          <xdr:col>2</xdr:col>
          <xdr:colOff>845820</xdr:colOff>
          <xdr:row>29</xdr:row>
          <xdr:rowOff>182880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29</xdr:row>
          <xdr:rowOff>182880</xdr:rowOff>
        </xdr:from>
        <xdr:to>
          <xdr:col>2</xdr:col>
          <xdr:colOff>845820</xdr:colOff>
          <xdr:row>30</xdr:row>
          <xdr:rowOff>182880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30</xdr:row>
          <xdr:rowOff>182880</xdr:rowOff>
        </xdr:from>
        <xdr:to>
          <xdr:col>2</xdr:col>
          <xdr:colOff>845820</xdr:colOff>
          <xdr:row>31</xdr:row>
          <xdr:rowOff>190500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31</xdr:row>
          <xdr:rowOff>190500</xdr:rowOff>
        </xdr:from>
        <xdr:to>
          <xdr:col>2</xdr:col>
          <xdr:colOff>845820</xdr:colOff>
          <xdr:row>32</xdr:row>
          <xdr:rowOff>190500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190500</xdr:rowOff>
        </xdr:from>
        <xdr:to>
          <xdr:col>2</xdr:col>
          <xdr:colOff>845820</xdr:colOff>
          <xdr:row>33</xdr:row>
          <xdr:rowOff>190500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33</xdr:row>
          <xdr:rowOff>190500</xdr:rowOff>
        </xdr:from>
        <xdr:to>
          <xdr:col>2</xdr:col>
          <xdr:colOff>845820</xdr:colOff>
          <xdr:row>34</xdr:row>
          <xdr:rowOff>190500</xdr:rowOff>
        </xdr:to>
        <xdr:sp macro="" textlink="">
          <xdr:nvSpPr>
            <xdr:cNvPr id="2081" name="Drop Dow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34</xdr:row>
          <xdr:rowOff>190500</xdr:rowOff>
        </xdr:from>
        <xdr:to>
          <xdr:col>2</xdr:col>
          <xdr:colOff>845820</xdr:colOff>
          <xdr:row>35</xdr:row>
          <xdr:rowOff>190500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23</xdr:row>
          <xdr:rowOff>22860</xdr:rowOff>
        </xdr:from>
        <xdr:to>
          <xdr:col>5</xdr:col>
          <xdr:colOff>495300</xdr:colOff>
          <xdr:row>24</xdr:row>
          <xdr:rowOff>175260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23</xdr:row>
          <xdr:rowOff>7620</xdr:rowOff>
        </xdr:from>
        <xdr:to>
          <xdr:col>2</xdr:col>
          <xdr:colOff>845820</xdr:colOff>
          <xdr:row>24</xdr:row>
          <xdr:rowOff>190500</xdr:rowOff>
        </xdr:to>
        <xdr:sp macro="" textlink="">
          <xdr:nvSpPr>
            <xdr:cNvPr id="2250" name="Drop Down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190500</xdr:rowOff>
        </xdr:from>
        <xdr:to>
          <xdr:col>5</xdr:col>
          <xdr:colOff>495300</xdr:colOff>
          <xdr:row>25</xdr:row>
          <xdr:rowOff>175260</xdr:rowOff>
        </xdr:to>
        <xdr:sp macro="" textlink="">
          <xdr:nvSpPr>
            <xdr:cNvPr id="2261" name="Drop Down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xdr:row>
          <xdr:rowOff>190500</xdr:rowOff>
        </xdr:from>
        <xdr:to>
          <xdr:col>5</xdr:col>
          <xdr:colOff>495300</xdr:colOff>
          <xdr:row>26</xdr:row>
          <xdr:rowOff>175260</xdr:rowOff>
        </xdr:to>
        <xdr:sp macro="" textlink="">
          <xdr:nvSpPr>
            <xdr:cNvPr id="2262" name="Drop Down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26</xdr:row>
          <xdr:rowOff>190500</xdr:rowOff>
        </xdr:from>
        <xdr:to>
          <xdr:col>5</xdr:col>
          <xdr:colOff>495300</xdr:colOff>
          <xdr:row>27</xdr:row>
          <xdr:rowOff>175260</xdr:rowOff>
        </xdr:to>
        <xdr:sp macro="" textlink="">
          <xdr:nvSpPr>
            <xdr:cNvPr id="2263" name="Drop Down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190500</xdr:rowOff>
        </xdr:from>
        <xdr:to>
          <xdr:col>5</xdr:col>
          <xdr:colOff>495300</xdr:colOff>
          <xdr:row>28</xdr:row>
          <xdr:rowOff>175260</xdr:rowOff>
        </xdr:to>
        <xdr:sp macro="" textlink="">
          <xdr:nvSpPr>
            <xdr:cNvPr id="2264" name="Drop Down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190500</xdr:rowOff>
        </xdr:from>
        <xdr:to>
          <xdr:col>5</xdr:col>
          <xdr:colOff>495300</xdr:colOff>
          <xdr:row>29</xdr:row>
          <xdr:rowOff>175260</xdr:rowOff>
        </xdr:to>
        <xdr:sp macro="" textlink="">
          <xdr:nvSpPr>
            <xdr:cNvPr id="2265" name="Drop Dow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29</xdr:row>
          <xdr:rowOff>190500</xdr:rowOff>
        </xdr:from>
        <xdr:to>
          <xdr:col>5</xdr:col>
          <xdr:colOff>495300</xdr:colOff>
          <xdr:row>30</xdr:row>
          <xdr:rowOff>175260</xdr:rowOff>
        </xdr:to>
        <xdr:sp macro="" textlink="">
          <xdr:nvSpPr>
            <xdr:cNvPr id="2266" name="Drop Dow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xdr:row>
          <xdr:rowOff>190500</xdr:rowOff>
        </xdr:from>
        <xdr:to>
          <xdr:col>5</xdr:col>
          <xdr:colOff>495300</xdr:colOff>
          <xdr:row>31</xdr:row>
          <xdr:rowOff>182880</xdr:rowOff>
        </xdr:to>
        <xdr:sp macro="" textlink="">
          <xdr:nvSpPr>
            <xdr:cNvPr id="2267" name="Drop Dow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32</xdr:row>
          <xdr:rowOff>0</xdr:rowOff>
        </xdr:from>
        <xdr:to>
          <xdr:col>5</xdr:col>
          <xdr:colOff>495300</xdr:colOff>
          <xdr:row>32</xdr:row>
          <xdr:rowOff>182880</xdr:rowOff>
        </xdr:to>
        <xdr:sp macro="" textlink="">
          <xdr:nvSpPr>
            <xdr:cNvPr id="2268" name="Drop Dow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33</xdr:row>
          <xdr:rowOff>7620</xdr:rowOff>
        </xdr:from>
        <xdr:to>
          <xdr:col>5</xdr:col>
          <xdr:colOff>495300</xdr:colOff>
          <xdr:row>33</xdr:row>
          <xdr:rowOff>190500</xdr:rowOff>
        </xdr:to>
        <xdr:sp macro="" textlink="">
          <xdr:nvSpPr>
            <xdr:cNvPr id="2269" name="Drop Dow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34</xdr:row>
          <xdr:rowOff>7620</xdr:rowOff>
        </xdr:from>
        <xdr:to>
          <xdr:col>5</xdr:col>
          <xdr:colOff>495300</xdr:colOff>
          <xdr:row>34</xdr:row>
          <xdr:rowOff>190500</xdr:rowOff>
        </xdr:to>
        <xdr:sp macro="" textlink="">
          <xdr:nvSpPr>
            <xdr:cNvPr id="2270" name="Drop Dow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xdr:row>
          <xdr:rowOff>7620</xdr:rowOff>
        </xdr:from>
        <xdr:to>
          <xdr:col>5</xdr:col>
          <xdr:colOff>495300</xdr:colOff>
          <xdr:row>35</xdr:row>
          <xdr:rowOff>190500</xdr:rowOff>
        </xdr:to>
        <xdr:sp macro="" textlink="">
          <xdr:nvSpPr>
            <xdr:cNvPr id="2271" name="Drop Dow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116</xdr:row>
          <xdr:rowOff>7620</xdr:rowOff>
        </xdr:from>
        <xdr:to>
          <xdr:col>3</xdr:col>
          <xdr:colOff>487680</xdr:colOff>
          <xdr:row>116</xdr:row>
          <xdr:rowOff>220980</xdr:rowOff>
        </xdr:to>
        <xdr:sp macro="" textlink="">
          <xdr:nvSpPr>
            <xdr:cNvPr id="2368" name="Drop Down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117</xdr:row>
          <xdr:rowOff>22860</xdr:rowOff>
        </xdr:from>
        <xdr:to>
          <xdr:col>3</xdr:col>
          <xdr:colOff>487680</xdr:colOff>
          <xdr:row>118</xdr:row>
          <xdr:rowOff>0</xdr:rowOff>
        </xdr:to>
        <xdr:sp macro="" textlink="">
          <xdr:nvSpPr>
            <xdr:cNvPr id="2370" name="Drop Down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118</xdr:row>
          <xdr:rowOff>22860</xdr:rowOff>
        </xdr:from>
        <xdr:to>
          <xdr:col>3</xdr:col>
          <xdr:colOff>487680</xdr:colOff>
          <xdr:row>119</xdr:row>
          <xdr:rowOff>0</xdr:rowOff>
        </xdr:to>
        <xdr:sp macro="" textlink="">
          <xdr:nvSpPr>
            <xdr:cNvPr id="2371" name="Drop Down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119</xdr:row>
          <xdr:rowOff>22860</xdr:rowOff>
        </xdr:from>
        <xdr:to>
          <xdr:col>3</xdr:col>
          <xdr:colOff>487680</xdr:colOff>
          <xdr:row>120</xdr:row>
          <xdr:rowOff>0</xdr:rowOff>
        </xdr:to>
        <xdr:sp macro="" textlink="">
          <xdr:nvSpPr>
            <xdr:cNvPr id="2372" name="Drop Down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390524</xdr:colOff>
      <xdr:row>73</xdr:row>
      <xdr:rowOff>19050</xdr:rowOff>
    </xdr:from>
    <xdr:to>
      <xdr:col>1</xdr:col>
      <xdr:colOff>523874</xdr:colOff>
      <xdr:row>76</xdr:row>
      <xdr:rowOff>142876</xdr:rowOff>
    </xdr:to>
    <xdr:sp macro="" textlink="">
      <xdr:nvSpPr>
        <xdr:cNvPr id="42" name="Flussdiagramm: Magnetplattenspeicher 41">
          <a:extLst>
            <a:ext uri="{FF2B5EF4-FFF2-40B4-BE49-F238E27FC236}">
              <a16:creationId xmlns:a16="http://schemas.microsoft.com/office/drawing/2014/main" id="{00000000-0008-0000-0000-00002A000000}"/>
            </a:ext>
          </a:extLst>
        </xdr:cNvPr>
        <xdr:cNvSpPr/>
      </xdr:nvSpPr>
      <xdr:spPr bwMode="auto">
        <a:xfrm>
          <a:off x="390524" y="6353175"/>
          <a:ext cx="1114425" cy="695326"/>
        </a:xfrm>
        <a:prstGeom prst="flowChartMagneticDisk">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123825</xdr:colOff>
      <xdr:row>73</xdr:row>
      <xdr:rowOff>19049</xdr:rowOff>
    </xdr:from>
    <xdr:to>
      <xdr:col>5</xdr:col>
      <xdr:colOff>314325</xdr:colOff>
      <xdr:row>76</xdr:row>
      <xdr:rowOff>152400</xdr:rowOff>
    </xdr:to>
    <xdr:sp macro="" textlink="">
      <xdr:nvSpPr>
        <xdr:cNvPr id="43" name="Flussdiagramm: Magnetplattenspeicher 42">
          <a:extLst>
            <a:ext uri="{FF2B5EF4-FFF2-40B4-BE49-F238E27FC236}">
              <a16:creationId xmlns:a16="http://schemas.microsoft.com/office/drawing/2014/main" id="{00000000-0008-0000-0000-00002B000000}"/>
            </a:ext>
          </a:extLst>
        </xdr:cNvPr>
        <xdr:cNvSpPr/>
      </xdr:nvSpPr>
      <xdr:spPr bwMode="auto">
        <a:xfrm>
          <a:off x="2895600" y="6353174"/>
          <a:ext cx="1200150" cy="704851"/>
        </a:xfrm>
        <a:prstGeom prst="flowChartMagneticDisk">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Separation)</a:t>
          </a:r>
          <a:endParaRPr lang="de-DE" sz="1100"/>
        </a:p>
      </xdr:txBody>
    </xdr:sp>
    <xdr:clientData/>
  </xdr:twoCellAnchor>
  <xdr:twoCellAnchor>
    <xdr:from>
      <xdr:col>7</xdr:col>
      <xdr:colOff>371475</xdr:colOff>
      <xdr:row>73</xdr:row>
      <xdr:rowOff>76200</xdr:rowOff>
    </xdr:from>
    <xdr:to>
      <xdr:col>9</xdr:col>
      <xdr:colOff>361950</xdr:colOff>
      <xdr:row>76</xdr:row>
      <xdr:rowOff>66675</xdr:rowOff>
    </xdr:to>
    <xdr:sp macro="" textlink="">
      <xdr:nvSpPr>
        <xdr:cNvPr id="44" name="Flussdiagramm: Prozess 43">
          <a:extLst>
            <a:ext uri="{FF2B5EF4-FFF2-40B4-BE49-F238E27FC236}">
              <a16:creationId xmlns:a16="http://schemas.microsoft.com/office/drawing/2014/main" id="{00000000-0008-0000-0000-00002C000000}"/>
            </a:ext>
          </a:extLst>
        </xdr:cNvPr>
        <xdr:cNvSpPr/>
      </xdr:nvSpPr>
      <xdr:spPr bwMode="auto">
        <a:xfrm>
          <a:off x="5067300" y="6410325"/>
          <a:ext cx="1047750" cy="561975"/>
        </a:xfrm>
        <a:prstGeom prst="flowChartProcess">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2</xdr:col>
      <xdr:colOff>781050</xdr:colOff>
      <xdr:row>67</xdr:row>
      <xdr:rowOff>152400</xdr:rowOff>
    </xdr:from>
    <xdr:to>
      <xdr:col>6</xdr:col>
      <xdr:colOff>66675</xdr:colOff>
      <xdr:row>70</xdr:row>
      <xdr:rowOff>114300</xdr:rowOff>
    </xdr:to>
    <xdr:sp macro="" textlink="">
      <xdr:nvSpPr>
        <xdr:cNvPr id="45" name="Flussdiagramm: Alternativer Prozess 44">
          <a:extLst>
            <a:ext uri="{FF2B5EF4-FFF2-40B4-BE49-F238E27FC236}">
              <a16:creationId xmlns:a16="http://schemas.microsoft.com/office/drawing/2014/main" id="{00000000-0008-0000-0000-00002D000000}"/>
            </a:ext>
          </a:extLst>
        </xdr:cNvPr>
        <xdr:cNvSpPr/>
      </xdr:nvSpPr>
      <xdr:spPr bwMode="auto">
        <a:xfrm>
          <a:off x="2695575" y="5343525"/>
          <a:ext cx="1657350" cy="533400"/>
        </a:xfrm>
        <a:prstGeom prst="flowChartAlternateProcess">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0</xdr:col>
      <xdr:colOff>942975</xdr:colOff>
      <xdr:row>65</xdr:row>
      <xdr:rowOff>19050</xdr:rowOff>
    </xdr:from>
    <xdr:to>
      <xdr:col>2</xdr:col>
      <xdr:colOff>733425</xdr:colOff>
      <xdr:row>73</xdr:row>
      <xdr:rowOff>19050</xdr:rowOff>
    </xdr:to>
    <xdr:cxnSp macro="">
      <xdr:nvCxnSpPr>
        <xdr:cNvPr id="120067" name="Gerade Verbindung mit Pfeil 17">
          <a:extLst>
            <a:ext uri="{FF2B5EF4-FFF2-40B4-BE49-F238E27FC236}">
              <a16:creationId xmlns:a16="http://schemas.microsoft.com/office/drawing/2014/main" id="{00000000-0008-0000-0000-000003D50100}"/>
            </a:ext>
          </a:extLst>
        </xdr:cNvPr>
        <xdr:cNvCxnSpPr>
          <a:cxnSpLocks noChangeShapeType="1"/>
          <a:endCxn id="42" idx="1"/>
        </xdr:cNvCxnSpPr>
      </xdr:nvCxnSpPr>
      <xdr:spPr bwMode="auto">
        <a:xfrm flipH="1">
          <a:off x="942975" y="12049125"/>
          <a:ext cx="1704975" cy="16002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219075</xdr:colOff>
      <xdr:row>70</xdr:row>
      <xdr:rowOff>114300</xdr:rowOff>
    </xdr:from>
    <xdr:to>
      <xdr:col>4</xdr:col>
      <xdr:colOff>247650</xdr:colOff>
      <xdr:row>73</xdr:row>
      <xdr:rowOff>19050</xdr:rowOff>
    </xdr:to>
    <xdr:cxnSp macro="">
      <xdr:nvCxnSpPr>
        <xdr:cNvPr id="120068" name="Gerade Verbindung mit Pfeil 21">
          <a:extLst>
            <a:ext uri="{FF2B5EF4-FFF2-40B4-BE49-F238E27FC236}">
              <a16:creationId xmlns:a16="http://schemas.microsoft.com/office/drawing/2014/main" id="{00000000-0008-0000-0000-000004D50100}"/>
            </a:ext>
          </a:extLst>
        </xdr:cNvPr>
        <xdr:cNvCxnSpPr>
          <a:cxnSpLocks noChangeShapeType="1"/>
          <a:stCxn id="45" idx="2"/>
          <a:endCxn id="43" idx="1"/>
        </xdr:cNvCxnSpPr>
      </xdr:nvCxnSpPr>
      <xdr:spPr bwMode="auto">
        <a:xfrm flipH="1">
          <a:off x="3495675" y="13144500"/>
          <a:ext cx="285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247650</xdr:colOff>
      <xdr:row>70</xdr:row>
      <xdr:rowOff>114300</xdr:rowOff>
    </xdr:from>
    <xdr:to>
      <xdr:col>8</xdr:col>
      <xdr:colOff>485775</xdr:colOff>
      <xdr:row>73</xdr:row>
      <xdr:rowOff>76200</xdr:rowOff>
    </xdr:to>
    <xdr:cxnSp macro="">
      <xdr:nvCxnSpPr>
        <xdr:cNvPr id="120069" name="Gerade Verbindung mit Pfeil 23">
          <a:extLst>
            <a:ext uri="{FF2B5EF4-FFF2-40B4-BE49-F238E27FC236}">
              <a16:creationId xmlns:a16="http://schemas.microsoft.com/office/drawing/2014/main" id="{00000000-0008-0000-0000-000005D50100}"/>
            </a:ext>
          </a:extLst>
        </xdr:cNvPr>
        <xdr:cNvCxnSpPr>
          <a:cxnSpLocks noChangeShapeType="1"/>
          <a:stCxn id="45" idx="2"/>
          <a:endCxn id="44" idx="0"/>
        </xdr:cNvCxnSpPr>
      </xdr:nvCxnSpPr>
      <xdr:spPr bwMode="auto">
        <a:xfrm>
          <a:off x="3524250" y="13144500"/>
          <a:ext cx="2066925"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723900</xdr:colOff>
      <xdr:row>65</xdr:row>
      <xdr:rowOff>28575</xdr:rowOff>
    </xdr:from>
    <xdr:to>
      <xdr:col>4</xdr:col>
      <xdr:colOff>247650</xdr:colOff>
      <xdr:row>67</xdr:row>
      <xdr:rowOff>152400</xdr:rowOff>
    </xdr:to>
    <xdr:cxnSp macro="">
      <xdr:nvCxnSpPr>
        <xdr:cNvPr id="120070" name="Gerade Verbindung mit Pfeil 26">
          <a:extLst>
            <a:ext uri="{FF2B5EF4-FFF2-40B4-BE49-F238E27FC236}">
              <a16:creationId xmlns:a16="http://schemas.microsoft.com/office/drawing/2014/main" id="{00000000-0008-0000-0000-000006D50100}"/>
            </a:ext>
          </a:extLst>
        </xdr:cNvPr>
        <xdr:cNvCxnSpPr>
          <a:cxnSpLocks noChangeShapeType="1"/>
          <a:endCxn id="45" idx="0"/>
        </xdr:cNvCxnSpPr>
      </xdr:nvCxnSpPr>
      <xdr:spPr bwMode="auto">
        <a:xfrm>
          <a:off x="2638425" y="12058650"/>
          <a:ext cx="885825" cy="5238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61</xdr:row>
      <xdr:rowOff>19050</xdr:rowOff>
    </xdr:from>
    <xdr:to>
      <xdr:col>2</xdr:col>
      <xdr:colOff>752475</xdr:colOff>
      <xdr:row>63</xdr:row>
      <xdr:rowOff>180975</xdr:rowOff>
    </xdr:to>
    <xdr:cxnSp macro="">
      <xdr:nvCxnSpPr>
        <xdr:cNvPr id="120071" name="Gerade Verbindung mit Pfeil 28">
          <a:extLst>
            <a:ext uri="{FF2B5EF4-FFF2-40B4-BE49-F238E27FC236}">
              <a16:creationId xmlns:a16="http://schemas.microsoft.com/office/drawing/2014/main" id="{00000000-0008-0000-0000-000007D50100}"/>
            </a:ext>
          </a:extLst>
        </xdr:cNvPr>
        <xdr:cNvCxnSpPr>
          <a:cxnSpLocks noChangeShapeType="1"/>
        </xdr:cNvCxnSpPr>
      </xdr:nvCxnSpPr>
      <xdr:spPr bwMode="auto">
        <a:xfrm>
          <a:off x="1466850" y="11249025"/>
          <a:ext cx="12001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2</xdr:col>
          <xdr:colOff>845820</xdr:colOff>
          <xdr:row>4</xdr:row>
          <xdr:rowOff>0</xdr:rowOff>
        </xdr:from>
        <xdr:to>
          <xdr:col>4</xdr:col>
          <xdr:colOff>60960</xdr:colOff>
          <xdr:row>4</xdr:row>
          <xdr:rowOff>259080</xdr:rowOff>
        </xdr:to>
        <xdr:sp macro="" textlink="">
          <xdr:nvSpPr>
            <xdr:cNvPr id="101736" name="Drop Down 6504" hidden="1">
              <a:extLst>
                <a:ext uri="{63B3BB69-23CF-44E3-9099-C40C66FF867C}">
                  <a14:compatExt spid="_x0000_s101736"/>
                </a:ext>
                <a:ext uri="{FF2B5EF4-FFF2-40B4-BE49-F238E27FC236}">
                  <a16:creationId xmlns:a16="http://schemas.microsoft.com/office/drawing/2014/main" id="{00000000-0008-0000-0000-0000688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6</xdr:row>
          <xdr:rowOff>22860</xdr:rowOff>
        </xdr:from>
        <xdr:to>
          <xdr:col>0</xdr:col>
          <xdr:colOff>975360</xdr:colOff>
          <xdr:row>6</xdr:row>
          <xdr:rowOff>190500</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7</xdr:row>
          <xdr:rowOff>22860</xdr:rowOff>
        </xdr:from>
        <xdr:to>
          <xdr:col>0</xdr:col>
          <xdr:colOff>975360</xdr:colOff>
          <xdr:row>7</xdr:row>
          <xdr:rowOff>190500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1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xdr:row>
          <xdr:rowOff>22860</xdr:rowOff>
        </xdr:from>
        <xdr:to>
          <xdr:col>0</xdr:col>
          <xdr:colOff>960120</xdr:colOff>
          <xdr:row>8</xdr:row>
          <xdr:rowOff>190500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1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15</xdr:col>
      <xdr:colOff>447675</xdr:colOff>
      <xdr:row>1</xdr:row>
      <xdr:rowOff>57150</xdr:rowOff>
    </xdr:from>
    <xdr:to>
      <xdr:col>17</xdr:col>
      <xdr:colOff>685800</xdr:colOff>
      <xdr:row>1</xdr:row>
      <xdr:rowOff>847725</xdr:rowOff>
    </xdr:to>
    <xdr:pic>
      <xdr:nvPicPr>
        <xdr:cNvPr id="14772" name="Grafik 15" descr="C:\Users\msbo\AppData\Local\Microsoft\Windows\Temporary Internet Files\Content.Outlook\ZLX39RCH\Logo IAB 2.jpg">
          <a:extLst>
            <a:ext uri="{FF2B5EF4-FFF2-40B4-BE49-F238E27FC236}">
              <a16:creationId xmlns:a16="http://schemas.microsoft.com/office/drawing/2014/main" id="{00000000-0008-0000-0100-0000B43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2075" y="25717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drawing" Target="../drawings/drawing2.xml"/><Relationship Id="rId7" Type="http://schemas.openxmlformats.org/officeDocument/2006/relationships/ctrlProp" Target="../ctrlProps/ctrlProp3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K159"/>
  <sheetViews>
    <sheetView showGridLines="0" tabSelected="1" zoomScaleNormal="100" zoomScaleSheetLayoutView="85" workbookViewId="0">
      <selection activeCell="B5" sqref="B5"/>
    </sheetView>
  </sheetViews>
  <sheetFormatPr baseColWidth="10" defaultColWidth="11.44140625" defaultRowHeight="13.2" x14ac:dyDescent="0.25"/>
  <cols>
    <col min="1" max="1" width="14.6640625" style="11" customWidth="1"/>
    <col min="2" max="2" width="14" style="11" customWidth="1"/>
    <col min="3" max="3" width="12.88671875" style="11" customWidth="1"/>
    <col min="4" max="6" width="7.5546875" style="11" customWidth="1"/>
    <col min="7" max="8" width="6.109375" style="11" customWidth="1"/>
    <col min="9" max="10" width="9.6640625" style="11" customWidth="1"/>
    <col min="11" max="11" width="0.88671875" style="11" customWidth="1"/>
    <col min="12" max="12" width="4.88671875" style="196" hidden="1" customWidth="1"/>
    <col min="13" max="13" width="12.44140625" style="406" hidden="1" customWidth="1"/>
    <col min="14" max="14" width="8.88671875" style="406" hidden="1" customWidth="1"/>
    <col min="15" max="15" width="2.6640625" style="406" hidden="1" customWidth="1"/>
    <col min="16" max="20" width="9.44140625" style="406" hidden="1" customWidth="1"/>
    <col min="21" max="21" width="6.44140625" style="406" hidden="1" customWidth="1"/>
    <col min="22" max="23" width="12.33203125" style="406" hidden="1" customWidth="1"/>
    <col min="24" max="25" width="6.109375" style="406" hidden="1" customWidth="1"/>
    <col min="26" max="26" width="7.109375" style="406" hidden="1" customWidth="1"/>
    <col min="27" max="27" width="6.109375" style="406" hidden="1" customWidth="1"/>
    <col min="28" max="28" width="7.109375" style="406" hidden="1" customWidth="1"/>
    <col min="29" max="29" width="6.109375" style="406" hidden="1" customWidth="1"/>
    <col min="30" max="30" width="6.33203125" style="406" hidden="1" customWidth="1"/>
    <col min="31" max="31" width="7.33203125" style="406" hidden="1" customWidth="1"/>
    <col min="32" max="32" width="6.33203125" style="406" hidden="1" customWidth="1"/>
    <col min="33" max="34" width="7" style="406" hidden="1" customWidth="1"/>
    <col min="35" max="38" width="6.33203125" style="406" hidden="1" customWidth="1"/>
    <col min="39" max="39" width="10.33203125" style="406" hidden="1" customWidth="1"/>
    <col min="40" max="40" width="5.6640625" style="406" hidden="1" customWidth="1"/>
    <col min="41" max="41" width="7.33203125" style="406" hidden="1" customWidth="1"/>
    <col min="42" max="42" width="12.88671875" style="406" hidden="1" customWidth="1"/>
    <col min="43" max="44" width="13.44140625" style="406" hidden="1" customWidth="1"/>
    <col min="45" max="45" width="6.33203125" style="406" hidden="1" customWidth="1"/>
    <col min="46" max="47" width="9.88671875" style="406" hidden="1" customWidth="1"/>
    <col min="48" max="50" width="5.6640625" style="406" hidden="1" customWidth="1"/>
    <col min="51" max="51" width="7" style="406" hidden="1" customWidth="1"/>
    <col min="52" max="60" width="5.6640625" style="406" hidden="1" customWidth="1"/>
    <col min="61" max="61" width="11" style="406" hidden="1" customWidth="1"/>
    <col min="62" max="68" width="11.88671875" style="406" hidden="1" customWidth="1"/>
    <col min="69" max="72" width="11.88671875" style="407" hidden="1" customWidth="1"/>
    <col min="73" max="73" width="11.88671875" style="406" hidden="1" customWidth="1"/>
    <col min="74" max="74" width="12.44140625" style="406" hidden="1" customWidth="1"/>
    <col min="75" max="78" width="11.88671875" style="406" hidden="1" customWidth="1"/>
    <col min="79" max="88" width="11.88671875" style="196" hidden="1" customWidth="1"/>
    <col min="89" max="99" width="11.44140625" style="196" hidden="1" customWidth="1"/>
    <col min="100" max="133" width="11.44140625" style="196" customWidth="1"/>
    <col min="134" max="16384" width="11.44140625" style="196"/>
  </cols>
  <sheetData>
    <row r="1" spans="1:82" ht="20.25" customHeight="1" x14ac:dyDescent="0.25">
      <c r="A1" s="990" t="s">
        <v>292</v>
      </c>
      <c r="B1" s="990"/>
      <c r="C1" s="990"/>
      <c r="D1" s="990"/>
      <c r="E1" s="990"/>
      <c r="F1" s="990"/>
      <c r="G1" s="990"/>
      <c r="H1" s="990"/>
      <c r="I1" s="990"/>
      <c r="J1" s="990"/>
      <c r="BQ1" s="406"/>
      <c r="BR1" s="406"/>
      <c r="BS1" s="406"/>
      <c r="BT1" s="406"/>
      <c r="BU1" s="407"/>
      <c r="BV1" s="407"/>
      <c r="BW1" s="407"/>
      <c r="BX1" s="407"/>
      <c r="CA1" s="406"/>
      <c r="CB1" s="406"/>
      <c r="CC1" s="406"/>
      <c r="CD1" s="406"/>
    </row>
    <row r="2" spans="1:82" ht="21" customHeight="1" x14ac:dyDescent="0.25">
      <c r="A2" s="991" t="s">
        <v>313</v>
      </c>
      <c r="B2" s="991"/>
      <c r="C2" s="991"/>
      <c r="D2" s="991"/>
      <c r="E2" s="991"/>
      <c r="F2" s="991"/>
      <c r="G2" s="991"/>
      <c r="H2" s="991"/>
      <c r="I2" s="991"/>
      <c r="J2" s="991"/>
      <c r="BQ2" s="406"/>
      <c r="BR2" s="406"/>
      <c r="BS2" s="406"/>
      <c r="BT2" s="406"/>
      <c r="BU2" s="407"/>
      <c r="BV2" s="407"/>
      <c r="BW2" s="407"/>
      <c r="BX2" s="407"/>
      <c r="CA2" s="406"/>
      <c r="CB2" s="406"/>
      <c r="CC2" s="406"/>
      <c r="CD2" s="406"/>
    </row>
    <row r="3" spans="1:82" ht="12.75" customHeight="1" x14ac:dyDescent="0.25">
      <c r="A3" s="1006"/>
      <c r="B3" s="1006"/>
      <c r="C3" s="1006"/>
      <c r="D3" s="1006"/>
      <c r="E3" s="1006"/>
      <c r="F3" s="1006"/>
      <c r="G3" s="1006"/>
      <c r="H3" s="274"/>
      <c r="I3" s="274"/>
      <c r="J3" s="10"/>
      <c r="BQ3" s="406"/>
      <c r="BR3" s="406"/>
      <c r="BS3" s="406"/>
      <c r="BT3" s="406"/>
      <c r="BU3" s="407"/>
      <c r="BV3" s="407"/>
      <c r="BW3" s="407"/>
      <c r="BX3" s="407"/>
      <c r="CA3" s="406"/>
      <c r="CB3" s="406"/>
      <c r="CC3" s="406"/>
      <c r="CD3" s="406"/>
    </row>
    <row r="4" spans="1:82" x14ac:dyDescent="0.25">
      <c r="A4" s="10"/>
      <c r="B4" s="10"/>
      <c r="C4" s="10"/>
      <c r="D4" s="10"/>
      <c r="E4" s="10"/>
      <c r="F4" s="10"/>
      <c r="G4" s="10"/>
      <c r="H4" s="10"/>
      <c r="I4" s="12"/>
      <c r="J4" s="10"/>
      <c r="M4" s="1020" t="s">
        <v>330</v>
      </c>
      <c r="N4" s="966"/>
      <c r="P4" s="406" t="s">
        <v>263</v>
      </c>
      <c r="BQ4" s="406"/>
      <c r="BR4" s="406"/>
      <c r="BS4" s="406"/>
      <c r="BT4" s="406"/>
      <c r="BU4" s="407"/>
      <c r="BV4" s="407"/>
      <c r="BW4" s="407"/>
      <c r="BX4" s="407"/>
      <c r="CA4" s="406"/>
      <c r="CB4" s="406"/>
      <c r="CC4" s="406"/>
      <c r="CD4" s="406"/>
    </row>
    <row r="5" spans="1:82" ht="21" customHeight="1" x14ac:dyDescent="0.25">
      <c r="A5" s="13" t="s">
        <v>14</v>
      </c>
      <c r="B5" s="581"/>
      <c r="C5" s="14" t="s">
        <v>19</v>
      </c>
      <c r="D5" s="129"/>
      <c r="E5" s="15"/>
      <c r="F5" s="16"/>
      <c r="G5" s="17" t="s">
        <v>262</v>
      </c>
      <c r="H5" s="10"/>
      <c r="I5" s="10"/>
      <c r="M5" s="406">
        <v>1</v>
      </c>
      <c r="N5" s="406" cm="1">
        <f t="array" ref="N5">INDEX(Stroh!$B$7:$B$8,'Berech. Lagerraum flüssig+fest'!M5)</f>
        <v>2022</v>
      </c>
      <c r="P5" s="548">
        <f>+B5</f>
        <v>0</v>
      </c>
      <c r="Q5" s="406" t="str">
        <f>LEFT(P5,3)</f>
        <v>0</v>
      </c>
      <c r="R5" s="406" t="e">
        <f>IF(Q5=#REF!,#REF!,0)</f>
        <v>#REF!</v>
      </c>
      <c r="BQ5" s="406"/>
      <c r="BR5" s="406"/>
      <c r="BS5" s="406"/>
      <c r="BT5" s="406"/>
      <c r="BU5" s="407"/>
      <c r="BV5" s="407"/>
      <c r="BW5" s="407"/>
      <c r="BX5" s="407"/>
      <c r="CA5" s="406"/>
      <c r="CB5" s="406"/>
      <c r="CC5" s="406"/>
      <c r="CD5" s="406"/>
    </row>
    <row r="6" spans="1:82" ht="21" customHeight="1" x14ac:dyDescent="0.25">
      <c r="A6" s="13" t="s">
        <v>15</v>
      </c>
      <c r="B6" s="1007"/>
      <c r="C6" s="1008"/>
      <c r="D6" s="1008"/>
      <c r="E6" s="162"/>
      <c r="F6" s="16"/>
      <c r="G6" s="17" t="s">
        <v>24</v>
      </c>
      <c r="H6" s="10"/>
      <c r="I6" s="10"/>
      <c r="BQ6" s="406"/>
      <c r="BR6" s="406"/>
      <c r="BS6" s="406"/>
      <c r="BT6" s="406"/>
      <c r="BU6" s="407"/>
      <c r="BV6" s="407"/>
      <c r="BW6" s="407"/>
      <c r="BX6" s="407"/>
      <c r="CA6" s="406"/>
      <c r="CB6" s="406"/>
      <c r="CC6" s="406"/>
      <c r="CD6" s="406"/>
    </row>
    <row r="7" spans="1:82" ht="21" customHeight="1" x14ac:dyDescent="0.25">
      <c r="A7" s="13" t="s">
        <v>16</v>
      </c>
      <c r="B7" s="1001"/>
      <c r="C7" s="1002"/>
      <c r="D7" s="1002"/>
      <c r="E7" s="162"/>
      <c r="F7" s="10"/>
      <c r="G7" s="16"/>
      <c r="H7" s="17" t="s">
        <v>26</v>
      </c>
      <c r="I7" s="10"/>
      <c r="BQ7" s="406"/>
      <c r="BR7" s="406"/>
      <c r="BS7" s="406"/>
      <c r="BT7" s="406"/>
      <c r="BU7" s="407"/>
      <c r="BV7" s="407"/>
      <c r="BW7" s="407"/>
      <c r="BX7" s="407"/>
      <c r="CA7" s="406"/>
      <c r="CB7" s="406"/>
      <c r="CC7" s="406"/>
      <c r="CD7" s="406"/>
    </row>
    <row r="8" spans="1:82" ht="21" customHeight="1" x14ac:dyDescent="0.25">
      <c r="A8" s="13" t="s">
        <v>17</v>
      </c>
      <c r="B8" s="1001"/>
      <c r="C8" s="1002"/>
      <c r="D8" s="1002"/>
      <c r="E8" s="162"/>
      <c r="F8" s="16"/>
      <c r="G8" s="17" t="s">
        <v>25</v>
      </c>
      <c r="H8" s="10"/>
      <c r="I8" s="10"/>
      <c r="BQ8" s="406"/>
      <c r="BR8" s="406"/>
      <c r="BS8" s="406"/>
      <c r="BT8" s="406"/>
      <c r="BU8" s="407"/>
      <c r="BV8" s="407"/>
      <c r="BW8" s="407"/>
      <c r="BX8" s="407"/>
      <c r="CA8" s="406"/>
      <c r="CB8" s="406"/>
      <c r="CC8" s="406"/>
      <c r="CD8" s="406"/>
    </row>
    <row r="9" spans="1:82" ht="21" customHeight="1" x14ac:dyDescent="0.25">
      <c r="A9" s="13" t="s">
        <v>18</v>
      </c>
      <c r="B9" s="1001"/>
      <c r="C9" s="1002"/>
      <c r="D9" s="1002"/>
      <c r="E9" s="162"/>
      <c r="F9" s="10"/>
      <c r="G9" s="16"/>
      <c r="H9" s="17" t="s">
        <v>27</v>
      </c>
      <c r="I9" s="10"/>
      <c r="BQ9" s="406"/>
      <c r="BR9" s="406"/>
      <c r="BS9" s="406"/>
      <c r="BT9" s="406"/>
      <c r="BU9" s="407"/>
      <c r="BV9" s="407"/>
      <c r="BW9" s="407"/>
      <c r="BX9" s="407"/>
      <c r="CA9" s="406"/>
      <c r="CB9" s="406"/>
      <c r="CC9" s="406"/>
      <c r="CD9" s="406"/>
    </row>
    <row r="10" spans="1:82" ht="9" customHeight="1" x14ac:dyDescent="0.25">
      <c r="A10" s="300"/>
      <c r="B10" s="388"/>
      <c r="C10" s="389"/>
      <c r="D10" s="389"/>
      <c r="E10" s="389"/>
      <c r="F10" s="391" t="str">
        <f>IF(F6+F8&lt;&gt;F5,"Flächenangaben nicht plausibel",IF(G7&gt;F6,"Flächenangaben nicht plausibel",IF(G9&gt;F8,"Flächenangaben nicht plausibel"," ")))</f>
        <v xml:space="preserve"> </v>
      </c>
      <c r="G10" s="23"/>
      <c r="H10" s="17"/>
      <c r="I10" s="10"/>
      <c r="J10" s="10"/>
      <c r="R10" s="406" t="s">
        <v>98</v>
      </c>
      <c r="BQ10" s="406"/>
      <c r="BR10" s="406"/>
      <c r="BS10" s="406"/>
      <c r="BT10" s="406"/>
      <c r="BU10" s="407"/>
      <c r="BV10" s="407"/>
      <c r="BW10" s="407"/>
      <c r="BX10" s="407"/>
      <c r="CA10" s="406"/>
      <c r="CB10" s="406"/>
      <c r="CC10" s="406"/>
      <c r="CD10" s="406"/>
    </row>
    <row r="11" spans="1:82" ht="10.5" customHeight="1" x14ac:dyDescent="0.25">
      <c r="A11" s="300"/>
      <c r="B11" s="390" t="str">
        <f>IF(BG42=2,IF(F5&lt;0.001,"Flächenangaben nicht plausibel"," ")," ")</f>
        <v xml:space="preserve"> </v>
      </c>
      <c r="C11" s="389"/>
      <c r="D11" s="389"/>
      <c r="E11" s="389"/>
      <c r="H11" s="43"/>
      <c r="I11" s="43"/>
      <c r="J11" s="43"/>
      <c r="M11" s="579"/>
      <c r="N11" s="43" t="s">
        <v>248</v>
      </c>
      <c r="BQ11" s="406"/>
      <c r="BR11" s="406"/>
      <c r="BS11" s="406"/>
      <c r="BT11" s="406"/>
      <c r="BU11" s="407"/>
      <c r="BV11" s="407"/>
      <c r="BW11" s="407"/>
      <c r="BX11" s="407"/>
      <c r="CA11" s="406"/>
      <c r="CB11" s="406"/>
      <c r="CC11" s="406"/>
      <c r="CD11" s="406"/>
    </row>
    <row r="12" spans="1:82" ht="10.5" customHeight="1" thickBot="1" x14ac:dyDescent="0.3">
      <c r="A12" s="300"/>
      <c r="B12" s="390" t="str">
        <f>IF(BG42=2,IF(B13&lt;3000,"Milchleistung nicht plausibel"," ")," ")</f>
        <v xml:space="preserve"> </v>
      </c>
      <c r="C12" s="389"/>
      <c r="D12" s="389"/>
      <c r="E12" s="389"/>
      <c r="H12" s="43"/>
      <c r="I12" s="43"/>
      <c r="J12" s="43"/>
      <c r="M12" s="580"/>
      <c r="N12" s="43"/>
      <c r="BQ12" s="406"/>
      <c r="BR12" s="406"/>
      <c r="BS12" s="406"/>
      <c r="BT12" s="406"/>
      <c r="BU12" s="407"/>
      <c r="BV12" s="407"/>
      <c r="BW12" s="407"/>
      <c r="BX12" s="407"/>
      <c r="CA12" s="406"/>
      <c r="CB12" s="406"/>
      <c r="CC12" s="406"/>
      <c r="CD12" s="406"/>
    </row>
    <row r="13" spans="1:82" ht="21" customHeight="1" thickBot="1" x14ac:dyDescent="0.3">
      <c r="A13" s="13" t="s">
        <v>20</v>
      </c>
      <c r="B13" s="19"/>
      <c r="C13" s="10" t="s">
        <v>21</v>
      </c>
      <c r="D13" s="10"/>
      <c r="E13" s="300"/>
      <c r="H13" s="578"/>
      <c r="I13" s="578"/>
      <c r="J13" s="578"/>
      <c r="M13" s="27"/>
      <c r="N13" s="578" t="s">
        <v>243</v>
      </c>
      <c r="O13" s="408" t="s">
        <v>203</v>
      </c>
      <c r="T13" s="409">
        <f>IF(W13=1,0,100)</f>
        <v>0</v>
      </c>
      <c r="W13" s="406">
        <v>1</v>
      </c>
      <c r="X13" s="410" t="s">
        <v>233</v>
      </c>
      <c r="BD13" s="411">
        <f>IF(F5=0,0,+(F8-G9)/(F5-G7-G9))</f>
        <v>0</v>
      </c>
      <c r="BE13" s="411"/>
      <c r="BF13" s="411"/>
      <c r="BG13" s="406" t="s">
        <v>30</v>
      </c>
      <c r="BQ13" s="406"/>
      <c r="BR13" s="406"/>
      <c r="BS13" s="406"/>
      <c r="BT13" s="406"/>
      <c r="BU13" s="407"/>
      <c r="BV13" s="407"/>
      <c r="BW13" s="407"/>
      <c r="BX13" s="407"/>
      <c r="CA13" s="406"/>
      <c r="CB13" s="406"/>
      <c r="CC13" s="406"/>
      <c r="CD13" s="406"/>
    </row>
    <row r="14" spans="1:82" ht="21" customHeight="1" x14ac:dyDescent="0.25">
      <c r="A14" s="13" t="s">
        <v>28</v>
      </c>
      <c r="B14" s="190"/>
      <c r="C14" s="549" t="s">
        <v>277</v>
      </c>
      <c r="E14" s="10"/>
      <c r="F14" s="10"/>
      <c r="G14" s="10"/>
      <c r="H14" s="10"/>
      <c r="I14" s="10"/>
      <c r="J14" s="10"/>
      <c r="M14" s="550">
        <f>+B14</f>
        <v>0</v>
      </c>
      <c r="X14" s="410" t="s">
        <v>232</v>
      </c>
      <c r="BQ14" s="406"/>
      <c r="BR14" s="406"/>
      <c r="BS14" s="406"/>
      <c r="BT14" s="406"/>
      <c r="BU14" s="407"/>
      <c r="BV14" s="407"/>
      <c r="BW14" s="407"/>
      <c r="BX14" s="407"/>
      <c r="CA14" s="406"/>
      <c r="CB14" s="406"/>
      <c r="CC14" s="406"/>
      <c r="CD14" s="406"/>
    </row>
    <row r="15" spans="1:82" ht="4.5" customHeight="1" x14ac:dyDescent="0.25">
      <c r="A15" s="43"/>
      <c r="B15" s="213"/>
      <c r="E15" s="10"/>
      <c r="F15" s="10"/>
      <c r="G15" s="10"/>
      <c r="H15" s="10"/>
      <c r="I15" s="10"/>
      <c r="J15" s="10"/>
      <c r="BQ15" s="406"/>
      <c r="BR15" s="406"/>
      <c r="BS15" s="406"/>
      <c r="BT15" s="406"/>
      <c r="BU15" s="407"/>
      <c r="BV15" s="407"/>
      <c r="BW15" s="407"/>
      <c r="BX15" s="407"/>
      <c r="CA15" s="406"/>
      <c r="CB15" s="406"/>
      <c r="CC15" s="406"/>
      <c r="CD15" s="406"/>
    </row>
    <row r="16" spans="1:82" ht="15" customHeight="1" thickBot="1" x14ac:dyDescent="0.3">
      <c r="A16" s="13"/>
      <c r="B16" s="394" t="str">
        <f>IF((G43+G44+G45)&gt;1,IF(M14&lt;10,"Bitte Niederschlag eingeben"," ")," ")</f>
        <v xml:space="preserve"> </v>
      </c>
      <c r="C16" s="13"/>
      <c r="D16" s="10"/>
      <c r="E16" s="10"/>
      <c r="F16" s="10"/>
      <c r="G16" s="18"/>
      <c r="H16" s="10"/>
      <c r="I16" s="10"/>
      <c r="J16" s="10"/>
      <c r="P16" s="407"/>
      <c r="Q16" s="407"/>
      <c r="R16" s="407"/>
      <c r="S16" s="407"/>
      <c r="AI16" s="412"/>
      <c r="AJ16" s="412"/>
      <c r="AK16" s="412"/>
      <c r="AL16" s="412"/>
      <c r="BQ16" s="406"/>
      <c r="BR16" s="406"/>
      <c r="BS16" s="406"/>
      <c r="BT16" s="406"/>
      <c r="BU16" s="407"/>
      <c r="BV16" s="407"/>
      <c r="BW16" s="407"/>
      <c r="BX16" s="407"/>
      <c r="CA16" s="406"/>
      <c r="CB16" s="406"/>
      <c r="CC16" s="406"/>
      <c r="CD16" s="406"/>
    </row>
    <row r="17" spans="1:100" s="197" customFormat="1" ht="14.4" thickBot="1" x14ac:dyDescent="0.3">
      <c r="A17" s="256" t="s">
        <v>227</v>
      </c>
      <c r="B17" s="257"/>
      <c r="C17" s="257"/>
      <c r="D17" s="257"/>
      <c r="E17" s="257"/>
      <c r="F17" s="257"/>
      <c r="G17" s="257"/>
      <c r="H17" s="257"/>
      <c r="I17" s="257"/>
      <c r="J17" s="258"/>
      <c r="K17" s="21"/>
      <c r="M17" s="413"/>
      <c r="N17" s="413"/>
      <c r="O17" s="413"/>
      <c r="P17" s="413"/>
      <c r="Q17" s="413"/>
      <c r="R17" s="413"/>
      <c r="S17" s="413"/>
      <c r="T17" s="413"/>
      <c r="U17" s="413"/>
      <c r="V17" s="413"/>
      <c r="W17" s="419" t="s">
        <v>143</v>
      </c>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3"/>
      <c r="BY17" s="414"/>
      <c r="BZ17" s="414"/>
      <c r="CA17" s="414"/>
      <c r="CB17" s="414"/>
      <c r="CC17" s="413"/>
      <c r="CD17" s="413"/>
      <c r="CE17" s="413"/>
      <c r="CF17" s="413"/>
      <c r="CG17" s="413"/>
      <c r="CH17" s="413"/>
    </row>
    <row r="18" spans="1:100" s="197" customFormat="1" ht="0.75" customHeight="1" x14ac:dyDescent="0.25">
      <c r="A18" s="1"/>
      <c r="B18" s="20"/>
      <c r="C18" s="20"/>
      <c r="D18" s="20"/>
      <c r="E18" s="20"/>
      <c r="F18" s="20"/>
      <c r="G18" s="20"/>
      <c r="H18" s="20"/>
      <c r="I18" s="20"/>
      <c r="J18" s="20"/>
      <c r="K18" s="21"/>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413"/>
      <c r="BA18" s="413"/>
      <c r="BB18" s="413"/>
      <c r="BC18" s="413"/>
      <c r="BD18" s="413"/>
      <c r="BE18" s="413"/>
      <c r="BF18" s="413"/>
      <c r="BG18" s="413"/>
      <c r="BH18" s="413"/>
      <c r="BI18" s="413"/>
      <c r="BJ18" s="413"/>
      <c r="BK18" s="413"/>
      <c r="BL18" s="413"/>
      <c r="BM18" s="413"/>
      <c r="BN18" s="413"/>
      <c r="BO18" s="413"/>
      <c r="BP18" s="413"/>
      <c r="BQ18" s="413"/>
      <c r="BR18" s="413"/>
      <c r="BS18" s="413"/>
      <c r="BT18" s="413"/>
      <c r="BU18" s="413"/>
      <c r="BV18" s="413"/>
      <c r="BW18" s="413"/>
      <c r="BX18" s="413"/>
      <c r="BY18" s="414"/>
      <c r="BZ18" s="414"/>
      <c r="CA18" s="414"/>
      <c r="CB18" s="414"/>
      <c r="CC18" s="413"/>
      <c r="CD18" s="413"/>
      <c r="CE18" s="413"/>
      <c r="CF18" s="413"/>
      <c r="CG18" s="413"/>
      <c r="CH18" s="413"/>
    </row>
    <row r="19" spans="1:100" s="198" customFormat="1" ht="16.5" customHeight="1" thickBot="1" x14ac:dyDescent="0.3">
      <c r="A19" s="22"/>
      <c r="B19" s="1"/>
      <c r="C19" s="1"/>
      <c r="D19" s="1"/>
      <c r="E19" s="1"/>
      <c r="F19" s="1"/>
      <c r="G19" s="1"/>
      <c r="H19" s="1"/>
      <c r="I19" s="1"/>
      <c r="J19" s="1"/>
      <c r="K19" s="22"/>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5"/>
      <c r="BH19" s="415"/>
      <c r="BI19" s="415"/>
      <c r="BJ19" s="415"/>
      <c r="BK19" s="415"/>
      <c r="BL19" s="415"/>
      <c r="BM19" s="415"/>
      <c r="BN19" s="415"/>
      <c r="BO19" s="415"/>
      <c r="BP19" s="415"/>
      <c r="BQ19" s="415"/>
      <c r="BR19" s="415"/>
      <c r="BS19" s="415"/>
      <c r="BT19" s="415"/>
      <c r="BU19" s="415"/>
      <c r="BV19" s="415"/>
      <c r="BW19" s="415"/>
      <c r="BX19" s="415"/>
      <c r="BY19" s="416"/>
      <c r="BZ19" s="416"/>
      <c r="CA19" s="416"/>
      <c r="CB19" s="416"/>
      <c r="CC19" s="415"/>
      <c r="CD19" s="415"/>
      <c r="CE19" s="415"/>
      <c r="CF19" s="415"/>
      <c r="CG19" s="415"/>
      <c r="CH19" s="415"/>
    </row>
    <row r="20" spans="1:100" x14ac:dyDescent="0.25">
      <c r="A20" s="955" t="s">
        <v>38</v>
      </c>
      <c r="B20" s="956"/>
      <c r="C20" s="957"/>
      <c r="D20" s="1009" t="s">
        <v>164</v>
      </c>
      <c r="E20" s="1010"/>
      <c r="F20" s="1010"/>
      <c r="G20" s="1010"/>
      <c r="H20" s="1010"/>
      <c r="I20" s="1004" t="s">
        <v>50</v>
      </c>
      <c r="J20" s="1005"/>
      <c r="K20" s="23"/>
      <c r="L20" s="27"/>
      <c r="M20" s="417"/>
      <c r="N20" s="418" t="s">
        <v>136</v>
      </c>
      <c r="O20" s="417"/>
      <c r="P20" s="970" t="s">
        <v>273</v>
      </c>
      <c r="Q20" s="970"/>
      <c r="R20" s="970"/>
      <c r="S20" s="970"/>
      <c r="T20" s="417"/>
      <c r="U20" s="417"/>
      <c r="V20" s="417"/>
      <c r="W20" s="952" t="s">
        <v>148</v>
      </c>
      <c r="X20" s="953"/>
      <c r="Y20" s="953"/>
      <c r="Z20" s="953"/>
      <c r="AA20" s="953"/>
      <c r="AB20" s="953"/>
      <c r="AC20" s="953"/>
      <c r="AD20" s="954"/>
      <c r="AE20" s="420"/>
      <c r="AF20" s="420"/>
      <c r="AG20" s="420"/>
      <c r="AH20" s="420"/>
      <c r="AI20" s="420"/>
      <c r="AJ20" s="420"/>
      <c r="AK20" s="417"/>
      <c r="AL20" s="417"/>
      <c r="AM20" s="417"/>
      <c r="AN20" s="417"/>
      <c r="AO20" s="417"/>
      <c r="AP20" s="417"/>
      <c r="AQ20" s="417"/>
      <c r="AR20" s="417"/>
      <c r="AS20" s="417"/>
      <c r="AT20" s="417"/>
      <c r="AU20" s="417"/>
      <c r="AV20" s="417"/>
      <c r="AW20" s="417"/>
      <c r="AX20" s="417"/>
      <c r="AY20" s="417"/>
      <c r="AZ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27"/>
      <c r="CN20" s="27"/>
      <c r="CO20" s="27"/>
      <c r="CP20" s="27"/>
      <c r="CQ20" s="27"/>
      <c r="CR20" s="27"/>
      <c r="CS20" s="27"/>
      <c r="CT20" s="27"/>
    </row>
    <row r="21" spans="1:100" x14ac:dyDescent="0.25">
      <c r="A21" s="958"/>
      <c r="B21" s="959"/>
      <c r="C21" s="960"/>
      <c r="D21" s="221" t="s">
        <v>0</v>
      </c>
      <c r="E21" s="909" t="s">
        <v>53</v>
      </c>
      <c r="F21" s="915"/>
      <c r="G21" s="908" t="s">
        <v>41</v>
      </c>
      <c r="H21" s="1003"/>
      <c r="I21" s="222" t="s">
        <v>49</v>
      </c>
      <c r="J21" s="222" t="s">
        <v>47</v>
      </c>
      <c r="K21" s="23"/>
      <c r="L21" s="27"/>
      <c r="M21" s="417"/>
      <c r="N21" s="418" t="s">
        <v>166</v>
      </c>
      <c r="O21" s="417"/>
      <c r="P21" s="965" t="s">
        <v>270</v>
      </c>
      <c r="Q21" s="971"/>
      <c r="R21" s="952" t="s">
        <v>271</v>
      </c>
      <c r="S21" s="953"/>
      <c r="T21" s="954"/>
      <c r="U21" s="554" t="s">
        <v>204</v>
      </c>
      <c r="V21" s="555"/>
      <c r="W21" s="965" t="s">
        <v>270</v>
      </c>
      <c r="X21" s="966"/>
      <c r="Y21" s="966"/>
      <c r="Z21" s="966"/>
      <c r="AA21" s="966" t="s">
        <v>271</v>
      </c>
      <c r="AB21" s="966"/>
      <c r="AC21" s="966"/>
      <c r="AD21" s="966"/>
      <c r="AE21" s="425" t="s">
        <v>0</v>
      </c>
      <c r="AF21" s="425" t="s">
        <v>10</v>
      </c>
      <c r="AG21" s="948" t="s">
        <v>144</v>
      </c>
      <c r="AH21" s="948"/>
      <c r="AI21" s="948"/>
      <c r="AJ21" s="948"/>
      <c r="AK21" s="948"/>
      <c r="AL21" s="949"/>
      <c r="AM21" s="425" t="s">
        <v>144</v>
      </c>
      <c r="AN21" s="948" t="s">
        <v>135</v>
      </c>
      <c r="AO21" s="948"/>
      <c r="AP21" s="948"/>
      <c r="AQ21" s="948"/>
      <c r="AR21" s="948"/>
      <c r="AS21" s="949"/>
      <c r="AT21" s="417"/>
      <c r="AU21" s="967" t="s">
        <v>140</v>
      </c>
      <c r="AV21" s="968"/>
      <c r="AW21" s="968"/>
      <c r="AX21" s="968"/>
      <c r="AY21" s="968"/>
      <c r="AZ21" s="969"/>
      <c r="BA21" s="422" t="s">
        <v>136</v>
      </c>
      <c r="BB21" s="424" t="s">
        <v>136</v>
      </c>
      <c r="BC21" s="422"/>
      <c r="BD21" s="423"/>
      <c r="BE21" s="424"/>
      <c r="BF21" s="427"/>
      <c r="BG21" s="428"/>
      <c r="BH21" s="428"/>
      <c r="BI21" s="428"/>
      <c r="BJ21" s="428"/>
      <c r="BK21" s="428"/>
      <c r="BL21" s="947" t="s">
        <v>153</v>
      </c>
      <c r="BM21" s="948"/>
      <c r="BN21" s="949"/>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27"/>
      <c r="CN21" s="27"/>
      <c r="CO21" s="27"/>
      <c r="CP21" s="27"/>
      <c r="CQ21" s="576"/>
      <c r="CR21" s="576" t="s">
        <v>290</v>
      </c>
      <c r="CS21" s="27"/>
      <c r="CT21" s="27"/>
      <c r="CU21" s="945"/>
      <c r="CV21" s="946"/>
    </row>
    <row r="22" spans="1:100" x14ac:dyDescent="0.25">
      <c r="A22" s="958"/>
      <c r="B22" s="959"/>
      <c r="C22" s="960"/>
      <c r="D22" s="223"/>
      <c r="E22" s="224"/>
      <c r="F22" s="225" t="s">
        <v>54</v>
      </c>
      <c r="G22" s="226" t="s">
        <v>52</v>
      </c>
      <c r="H22" s="227" t="s">
        <v>51</v>
      </c>
      <c r="I22" s="222" t="s">
        <v>10</v>
      </c>
      <c r="J22" s="222" t="s">
        <v>48</v>
      </c>
      <c r="K22" s="23"/>
      <c r="L22" s="27"/>
      <c r="M22" s="417"/>
      <c r="N22" s="417"/>
      <c r="O22" s="417"/>
      <c r="P22" s="417" t="s">
        <v>0</v>
      </c>
      <c r="Q22" s="417" t="s">
        <v>95</v>
      </c>
      <c r="R22" s="417" t="s">
        <v>0</v>
      </c>
      <c r="S22" s="417" t="s">
        <v>95</v>
      </c>
      <c r="T22" s="418" t="s">
        <v>95</v>
      </c>
      <c r="U22" s="418" t="s">
        <v>0</v>
      </c>
      <c r="V22" s="418" t="s">
        <v>12</v>
      </c>
      <c r="W22" s="429" t="s">
        <v>4</v>
      </c>
      <c r="X22" s="418" t="s">
        <v>4</v>
      </c>
      <c r="Y22" s="418" t="s">
        <v>145</v>
      </c>
      <c r="Z22" s="421" t="s">
        <v>5</v>
      </c>
      <c r="AA22" s="429" t="s">
        <v>4</v>
      </c>
      <c r="AB22" s="418" t="s">
        <v>4</v>
      </c>
      <c r="AC22" s="418" t="s">
        <v>145</v>
      </c>
      <c r="AD22" s="421" t="s">
        <v>5</v>
      </c>
      <c r="AE22" s="430" t="s">
        <v>213</v>
      </c>
      <c r="AF22" s="430" t="s">
        <v>213</v>
      </c>
      <c r="AG22" s="970" t="s">
        <v>270</v>
      </c>
      <c r="AH22" s="970"/>
      <c r="AI22" s="970"/>
      <c r="AJ22" s="966" t="s">
        <v>271</v>
      </c>
      <c r="AK22" s="966"/>
      <c r="AL22" s="966"/>
      <c r="AM22" s="431" t="s">
        <v>213</v>
      </c>
      <c r="AN22" s="966" t="s">
        <v>270</v>
      </c>
      <c r="AO22" s="966"/>
      <c r="AP22" s="966"/>
      <c r="AQ22" s="966" t="s">
        <v>271</v>
      </c>
      <c r="AR22" s="966"/>
      <c r="AS22" s="966"/>
      <c r="AT22" s="417"/>
      <c r="AU22" s="965" t="s">
        <v>270</v>
      </c>
      <c r="AV22" s="972"/>
      <c r="AW22" s="971"/>
      <c r="AX22" s="952" t="s">
        <v>271</v>
      </c>
      <c r="AY22" s="953"/>
      <c r="AZ22" s="954"/>
      <c r="BA22" s="429" t="s">
        <v>10</v>
      </c>
      <c r="BB22" s="421" t="s">
        <v>12</v>
      </c>
      <c r="BC22" s="952" t="s">
        <v>147</v>
      </c>
      <c r="BD22" s="953"/>
      <c r="BE22" s="954"/>
      <c r="BF22" s="432"/>
      <c r="BG22" s="433"/>
      <c r="BH22" s="433"/>
      <c r="BI22" s="432" t="s">
        <v>96</v>
      </c>
      <c r="BJ22" s="432" t="s">
        <v>96</v>
      </c>
      <c r="BK22" s="432" t="s">
        <v>96</v>
      </c>
      <c r="BL22" s="434"/>
      <c r="BM22" s="435"/>
      <c r="BN22" s="436"/>
      <c r="BO22" s="422" t="s">
        <v>0</v>
      </c>
      <c r="BP22" s="424" t="s">
        <v>10</v>
      </c>
      <c r="BQ22" s="947" t="s">
        <v>12</v>
      </c>
      <c r="BR22" s="948"/>
      <c r="BS22" s="949"/>
      <c r="BT22" s="947" t="s">
        <v>137</v>
      </c>
      <c r="BU22" s="949"/>
      <c r="BV22" s="427" t="s">
        <v>165</v>
      </c>
      <c r="BW22" s="947" t="s">
        <v>195</v>
      </c>
      <c r="BX22" s="948"/>
      <c r="BY22" s="949"/>
      <c r="BZ22" s="947" t="s">
        <v>192</v>
      </c>
      <c r="CA22" s="948"/>
      <c r="CB22" s="949"/>
      <c r="CC22" s="947" t="s">
        <v>207</v>
      </c>
      <c r="CD22" s="948"/>
      <c r="CE22" s="948" t="s">
        <v>211</v>
      </c>
      <c r="CF22" s="949"/>
      <c r="CG22" s="437" t="s">
        <v>216</v>
      </c>
      <c r="CH22" s="426" t="s">
        <v>218</v>
      </c>
      <c r="CI22" s="417"/>
      <c r="CJ22" s="417"/>
      <c r="CK22" s="417"/>
      <c r="CL22" s="418" t="s">
        <v>265</v>
      </c>
      <c r="CM22" s="27"/>
      <c r="CN22" s="27"/>
      <c r="CO22" s="964" t="s">
        <v>268</v>
      </c>
      <c r="CP22" s="964"/>
      <c r="CQ22" s="27"/>
      <c r="CR22" s="27"/>
      <c r="CS22" s="27"/>
      <c r="CT22" s="27"/>
      <c r="CU22" s="199"/>
      <c r="CV22" s="200"/>
    </row>
    <row r="23" spans="1:100" ht="13.8" thickBot="1" x14ac:dyDescent="0.3">
      <c r="A23" s="961"/>
      <c r="B23" s="962"/>
      <c r="C23" s="963"/>
      <c r="D23" s="228" t="s">
        <v>13</v>
      </c>
      <c r="E23" s="229" t="s">
        <v>13</v>
      </c>
      <c r="F23" s="230" t="s">
        <v>40</v>
      </c>
      <c r="G23" s="231" t="s">
        <v>42</v>
      </c>
      <c r="H23" s="232" t="s">
        <v>42</v>
      </c>
      <c r="I23" s="233" t="s">
        <v>141</v>
      </c>
      <c r="J23" s="233" t="s">
        <v>142</v>
      </c>
      <c r="K23" s="23"/>
      <c r="L23" s="27"/>
      <c r="M23" s="417"/>
      <c r="N23" s="418" t="s">
        <v>141</v>
      </c>
      <c r="O23" s="417"/>
      <c r="P23" s="417"/>
      <c r="Q23" s="417"/>
      <c r="R23" s="417"/>
      <c r="S23" s="417"/>
      <c r="T23" s="418" t="s">
        <v>1</v>
      </c>
      <c r="U23" s="418" t="s">
        <v>13</v>
      </c>
      <c r="V23" s="418" t="s">
        <v>13</v>
      </c>
      <c r="W23" s="438"/>
      <c r="X23" s="418" t="s">
        <v>100</v>
      </c>
      <c r="Y23" s="417"/>
      <c r="Z23" s="439"/>
      <c r="AA23" s="438"/>
      <c r="AB23" s="418" t="s">
        <v>100</v>
      </c>
      <c r="AC23" s="417"/>
      <c r="AD23" s="439"/>
      <c r="AE23" s="440"/>
      <c r="AF23" s="440"/>
      <c r="AG23" s="429" t="s">
        <v>4</v>
      </c>
      <c r="AH23" s="418" t="s">
        <v>145</v>
      </c>
      <c r="AI23" s="421" t="s">
        <v>5</v>
      </c>
      <c r="AJ23" s="429" t="s">
        <v>4</v>
      </c>
      <c r="AK23" s="418" t="s">
        <v>145</v>
      </c>
      <c r="AL23" s="421" t="s">
        <v>5</v>
      </c>
      <c r="AM23" s="430"/>
      <c r="AN23" s="429" t="s">
        <v>4</v>
      </c>
      <c r="AO23" s="418" t="s">
        <v>145</v>
      </c>
      <c r="AP23" s="421" t="s">
        <v>5</v>
      </c>
      <c r="AQ23" s="429" t="s">
        <v>4</v>
      </c>
      <c r="AR23" s="418" t="s">
        <v>145</v>
      </c>
      <c r="AS23" s="421" t="s">
        <v>5</v>
      </c>
      <c r="AT23" s="417"/>
      <c r="AU23" s="557" t="s">
        <v>272</v>
      </c>
      <c r="AV23" s="558" t="s">
        <v>12</v>
      </c>
      <c r="AW23" s="558" t="s">
        <v>274</v>
      </c>
      <c r="AX23" s="429" t="s">
        <v>0</v>
      </c>
      <c r="AY23" s="418" t="s">
        <v>12</v>
      </c>
      <c r="AZ23" s="556" t="s">
        <v>274</v>
      </c>
      <c r="BA23" s="429"/>
      <c r="BB23" s="421"/>
      <c r="BC23" s="429" t="s">
        <v>4</v>
      </c>
      <c r="BD23" s="418" t="s">
        <v>145</v>
      </c>
      <c r="BE23" s="421" t="s">
        <v>5</v>
      </c>
      <c r="BF23" s="432" t="s">
        <v>146</v>
      </c>
      <c r="BG23" s="432" t="s">
        <v>139</v>
      </c>
      <c r="BH23" s="432" t="s">
        <v>135</v>
      </c>
      <c r="BI23" s="432"/>
      <c r="BJ23" s="432"/>
      <c r="BK23" s="432" t="s">
        <v>155</v>
      </c>
      <c r="BL23" s="429" t="s">
        <v>4</v>
      </c>
      <c r="BM23" s="418" t="s">
        <v>145</v>
      </c>
      <c r="BN23" s="421" t="s">
        <v>5</v>
      </c>
      <c r="BO23" s="441" t="s">
        <v>136</v>
      </c>
      <c r="BP23" s="442" t="s">
        <v>136</v>
      </c>
      <c r="BQ23" s="441" t="s">
        <v>43</v>
      </c>
      <c r="BR23" s="443" t="s">
        <v>44</v>
      </c>
      <c r="BS23" s="442" t="s">
        <v>45</v>
      </c>
      <c r="BT23" s="441" t="s">
        <v>0</v>
      </c>
      <c r="BU23" s="442" t="s">
        <v>138</v>
      </c>
      <c r="BV23" s="444" t="s">
        <v>12</v>
      </c>
      <c r="BW23" s="441" t="s">
        <v>191</v>
      </c>
      <c r="BX23" s="443" t="s">
        <v>44</v>
      </c>
      <c r="BY23" s="442" t="s">
        <v>45</v>
      </c>
      <c r="BZ23" s="441" t="s">
        <v>4</v>
      </c>
      <c r="CA23" s="443" t="s">
        <v>145</v>
      </c>
      <c r="CB23" s="442" t="s">
        <v>5</v>
      </c>
      <c r="CC23" s="441" t="s">
        <v>208</v>
      </c>
      <c r="CD23" s="443" t="s">
        <v>209</v>
      </c>
      <c r="CE23" s="443" t="s">
        <v>208</v>
      </c>
      <c r="CF23" s="442" t="s">
        <v>209</v>
      </c>
      <c r="CG23" s="438" t="s">
        <v>217</v>
      </c>
      <c r="CH23" s="439" t="s">
        <v>219</v>
      </c>
      <c r="CI23" s="417"/>
      <c r="CJ23" s="417"/>
      <c r="CK23" s="417"/>
      <c r="CL23" s="418" t="s">
        <v>0</v>
      </c>
      <c r="CM23" s="395" t="s">
        <v>10</v>
      </c>
      <c r="CN23" s="395" t="s">
        <v>12</v>
      </c>
      <c r="CO23" s="551" t="s">
        <v>269</v>
      </c>
      <c r="CP23" s="395" t="s">
        <v>12</v>
      </c>
      <c r="CQ23" s="27"/>
      <c r="CR23" s="429" t="s">
        <v>4</v>
      </c>
      <c r="CS23" s="418" t="s">
        <v>145</v>
      </c>
      <c r="CT23" s="421" t="s">
        <v>5</v>
      </c>
    </row>
    <row r="24" spans="1:100" ht="2.25" customHeight="1" x14ac:dyDescent="0.25">
      <c r="A24" s="48"/>
      <c r="B24" s="24"/>
      <c r="C24" s="24"/>
      <c r="D24" s="25"/>
      <c r="E24" s="51"/>
      <c r="F24" s="50"/>
      <c r="G24" s="52"/>
      <c r="H24" s="45"/>
      <c r="I24" s="349"/>
      <c r="J24" s="47"/>
      <c r="K24" s="23"/>
      <c r="L24" s="27"/>
      <c r="M24" s="417"/>
      <c r="N24" s="417"/>
      <c r="O24" s="417"/>
      <c r="P24" s="417"/>
      <c r="Q24" s="417"/>
      <c r="R24" s="417"/>
      <c r="S24" s="417"/>
      <c r="T24" s="417"/>
      <c r="U24" s="417"/>
      <c r="V24" s="417"/>
      <c r="AA24" s="438"/>
      <c r="AB24" s="417"/>
      <c r="AC24" s="417"/>
      <c r="AD24" s="439"/>
      <c r="AE24" s="430"/>
      <c r="AF24" s="430"/>
      <c r="AG24" s="417"/>
      <c r="AH24" s="417"/>
      <c r="AI24" s="417"/>
      <c r="AJ24" s="438"/>
      <c r="AK24" s="417"/>
      <c r="AL24" s="439"/>
      <c r="AM24" s="430"/>
      <c r="AN24" s="417"/>
      <c r="AO24" s="417"/>
      <c r="AP24" s="417"/>
      <c r="AQ24" s="438"/>
      <c r="AR24" s="417"/>
      <c r="AS24" s="439"/>
      <c r="AT24" s="417"/>
      <c r="AU24" s="434"/>
      <c r="AV24" s="435"/>
      <c r="AW24" s="435"/>
      <c r="AX24" s="438"/>
      <c r="AY24" s="417"/>
      <c r="AZ24" s="439"/>
      <c r="BA24" s="438"/>
      <c r="BB24" s="439"/>
      <c r="BC24" s="438"/>
      <c r="BD24" s="417"/>
      <c r="BE24" s="439"/>
      <c r="BF24" s="433"/>
      <c r="BG24" s="432"/>
      <c r="BH24" s="432"/>
      <c r="BI24" s="432"/>
      <c r="BJ24" s="432"/>
      <c r="BK24" s="432"/>
      <c r="BL24" s="429"/>
      <c r="BM24" s="418"/>
      <c r="BN24" s="421"/>
      <c r="BO24" s="418"/>
      <c r="BP24" s="418"/>
      <c r="BQ24" s="429"/>
      <c r="BR24" s="418"/>
      <c r="BS24" s="421"/>
      <c r="BT24" s="429"/>
      <c r="BU24" s="421"/>
      <c r="BV24" s="417"/>
      <c r="BW24" s="417"/>
      <c r="BX24" s="417"/>
      <c r="BY24" s="417"/>
      <c r="BZ24" s="417"/>
      <c r="CA24" s="417"/>
      <c r="CB24" s="417"/>
      <c r="CC24" s="417"/>
      <c r="CD24" s="417"/>
      <c r="CE24" s="417"/>
      <c r="CF24" s="417"/>
      <c r="CG24" s="438"/>
      <c r="CH24" s="439"/>
      <c r="CI24" s="417"/>
      <c r="CJ24" s="417"/>
      <c r="CK24" s="417"/>
      <c r="CL24" s="417"/>
      <c r="CM24" s="27"/>
      <c r="CN24" s="27"/>
      <c r="CP24" s="27"/>
      <c r="CQ24" s="27"/>
      <c r="CR24" s="27"/>
      <c r="CS24" s="27"/>
      <c r="CT24" s="27"/>
    </row>
    <row r="25" spans="1:100" ht="15.75" customHeight="1" x14ac:dyDescent="0.25">
      <c r="A25" s="950"/>
      <c r="B25" s="951"/>
      <c r="C25" s="973"/>
      <c r="D25" s="276"/>
      <c r="E25" s="290"/>
      <c r="F25" s="163"/>
      <c r="G25" s="276"/>
      <c r="H25" s="293"/>
      <c r="I25" s="289" t="str">
        <f>IF(P25+R25=0," ",(P25+R25)/2)</f>
        <v xml:space="preserve"> </v>
      </c>
      <c r="J25" s="289" t="str">
        <f>IF(Q25+S25=0," ",(Q25+S25)/2)</f>
        <v xml:space="preserve"> </v>
      </c>
      <c r="K25" s="26"/>
      <c r="L25" s="26"/>
      <c r="M25" s="445"/>
      <c r="N25" s="445" t="str">
        <f t="shared" ref="N25:N37" si="0">IF(J25=" "," ",(J25*(1/BV25)))</f>
        <v xml:space="preserve"> </v>
      </c>
      <c r="O25" s="445"/>
      <c r="P25" s="445">
        <f t="shared" ref="P25:P36" si="1">IF(CJ25=FALSE,0,IF(U25+V25=0,0,IF(AU25*BO25+AV25*BA25=0,0,AU25*BO25+AV25*BA25)))</f>
        <v>0</v>
      </c>
      <c r="Q25" s="445">
        <f t="shared" ref="Q25:Q36" si="2">IF(CJ25=FALSE,0,IF(V25=0,0,IF(AY25+AV25=0,0,IF(BF25=4,AV25*BB25-(D25*(1-G25/100)*BB25)*((1220/1000)/(2*11)),AV25*BB25))))</f>
        <v>0</v>
      </c>
      <c r="R25" s="445">
        <f t="shared" ref="R25:R36" si="3">IF(CJ25=FALSE,0,IF(U25+V25=0,0,IF(AX25*BO25+AY25*BA25=0,0,AX25*BO25+AY25*BA25)))</f>
        <v>0</v>
      </c>
      <c r="S25" s="445">
        <f t="shared" ref="S25:S36" si="4">IF(CJ25=FALSE,0,IF(V25=0,0,IF(AY25+AV25=0,0,IF(BF25=4,AY25*BB25-(D25*(1-H25/100)*BB25)*((1220/1000)/(2*11)),AY25*BB25))))</f>
        <v>0</v>
      </c>
      <c r="T25" s="445" t="str">
        <f t="shared" ref="T25:T36" si="5">IF(S25=0," ",(S25*(1/BV25)))</f>
        <v xml:space="preserve"> </v>
      </c>
      <c r="U25" s="446">
        <f t="shared" ref="U25:U36" si="6">IF(BO25=0,0,D25)</f>
        <v>0</v>
      </c>
      <c r="V25" s="447">
        <f t="shared" ref="V25:V36" si="7">IF(BO25=0,D25+E25,E25)</f>
        <v>0</v>
      </c>
      <c r="W25" s="563">
        <f>+(AU25*BL25*(100-BT25)/100)+(BA25*BC25*AV25)</f>
        <v>0</v>
      </c>
      <c r="X25" s="563">
        <f>IF(BF25=2,W25,0)</f>
        <v>0</v>
      </c>
      <c r="Y25" s="563">
        <f>AU25*BM25+AV25*BA25*BD25</f>
        <v>0</v>
      </c>
      <c r="Z25" s="563">
        <f>AU25*BN25+AV25*BA25*BE25</f>
        <v>0</v>
      </c>
      <c r="AA25" s="448">
        <f t="shared" ref="AA25:AA36" si="8">+(AX25*BL25*(100-BT25)/100)+(BA25*BC25*AY25)</f>
        <v>0</v>
      </c>
      <c r="AB25" s="445">
        <f t="shared" ref="AB25:AB36" si="9">IF(BF25=2,AA25,0)</f>
        <v>0</v>
      </c>
      <c r="AC25" s="445">
        <f t="shared" ref="AC25:AC36" si="10">AX25*BM25+AY25*BA25*BD25</f>
        <v>0</v>
      </c>
      <c r="AD25" s="449">
        <f t="shared" ref="AD25:AD36" si="11">AX25*BN25+AY25*BA25*BE25</f>
        <v>0</v>
      </c>
      <c r="AE25" s="450">
        <f>INDEX(Tiere!K$30:K$87,'Berech. Lagerraum flüssig+fest'!$BG25)</f>
        <v>0</v>
      </c>
      <c r="AF25" s="450">
        <f>INDEX(Tiere!S$30:S$87,'Berech. Lagerraum flüssig+fest'!BG25)</f>
        <v>0</v>
      </c>
      <c r="AG25" s="445">
        <f>+(AV25*BL25*(100-BU25)/100)-BA25*AV25*BC25</f>
        <v>0</v>
      </c>
      <c r="AH25" s="445">
        <f>AV25*BM25-AV25*BA25*BD25</f>
        <v>0</v>
      </c>
      <c r="AI25" s="445">
        <f>AV25*BN25-AV25*BA25*BE25</f>
        <v>0</v>
      </c>
      <c r="AJ25" s="448">
        <f t="shared" ref="AJ25:AJ36" si="12">+(AY25*BL25*(100-BU25)/100)-BA25*AY25*BC25</f>
        <v>0</v>
      </c>
      <c r="AK25" s="445">
        <f t="shared" ref="AK25:AK36" si="13">AY25*BM25-AY25*BA25*BD25</f>
        <v>0</v>
      </c>
      <c r="AL25" s="449">
        <f t="shared" ref="AL25:AL36" si="14">AY25*BN25-AY25*BA25*BE25</f>
        <v>0</v>
      </c>
      <c r="AM25" s="450">
        <f>INDEX(Tiere!P$30:P$87,'Berech. Lagerraum flüssig+fest'!$BG25)</f>
        <v>0</v>
      </c>
      <c r="AN25" s="451">
        <f>IF(BH25=1,AW25*BW25*BJ25*365/1000*BZ25,IF(BH25=2,AW25*BX25*BJ25*365/1000*BZ25,AW25*BY25*BJ25*365/1000*BZ25))</f>
        <v>0</v>
      </c>
      <c r="AO25" s="451">
        <f>IF(BH25=1,AW25*BW25*BJ25*365/1000*CA25,IF(BH25=2,AW25*BX25*BJ25*365/1000*CA25,AW25*BY25*BJ25*365/1000*CA25))</f>
        <v>0</v>
      </c>
      <c r="AP25" s="451">
        <f>IF(BH25=1,AW25*BW25*BJ25*365/1000*CB25,IF(BH25=2,AW25*BX25*BJ25*365/1000*CB25,AW25*BY25*BJ25*365/1000*CB25))</f>
        <v>0</v>
      </c>
      <c r="AQ25" s="448">
        <f>IF(BH25=1,AZ25*BW25*BJ25*365/1000*BZ25,IF(BH25=2,AZ25*BX25*BJ25*365/1000*BZ25,AZ25*BY25*BJ25*365/1000*BZ25))</f>
        <v>0</v>
      </c>
      <c r="AR25" s="445">
        <f>IF(BH25=1,AZ25*BW25*BJ25*365/1000*CA25,IF(BH25=2,AZ25*BX25*BJ25*365/1000*CA25,AZ25*BY25*BJ25*365/1000*CA25))</f>
        <v>0</v>
      </c>
      <c r="AS25" s="449">
        <f>IF(BH25=1,AZ25*BW25*BJ25*365/1000*CB25,IF(BH25=2,AZ25*BX25*BJ25*365/1000*CB25,AZ25*BY25*BJ25*365/1000*CB25))</f>
        <v>0</v>
      </c>
      <c r="AT25" s="445"/>
      <c r="AU25" s="560">
        <f t="shared" ref="AU25:AU36" si="15">+U25*(100-$G25)/100</f>
        <v>0</v>
      </c>
      <c r="AV25" s="561">
        <f t="shared" ref="AV25:AV36" si="16">+V25*(100-$G25)/100</f>
        <v>0</v>
      </c>
      <c r="AW25" s="561">
        <f t="shared" ref="AW25:AW41" si="17">+E25*(100-$G25)/100</f>
        <v>0</v>
      </c>
      <c r="AX25" s="448">
        <f t="shared" ref="AX25:AX36" si="18">+U25*(100-$H25)/100</f>
        <v>0</v>
      </c>
      <c r="AY25" s="445">
        <f t="shared" ref="AY25:AY36" si="19">+V25*(100-$H25)/100</f>
        <v>0</v>
      </c>
      <c r="AZ25" s="449">
        <f t="shared" ref="AZ25:AZ41" si="20">+E25*(100-$H25)/100</f>
        <v>0</v>
      </c>
      <c r="BA25" s="453">
        <f>IF(BH25=1,BP25,IF(BH25=2,BP25/2,0))</f>
        <v>0</v>
      </c>
      <c r="BB25" s="454">
        <f>IF(BH25=1,BQ25,IF(BH25=2,BR25,BS25))</f>
        <v>0</v>
      </c>
      <c r="BC25" s="455">
        <f>IF(BF25=2,3.2,IF(BF25=3,3.3,0))</f>
        <v>0</v>
      </c>
      <c r="BD25" s="455">
        <f>IF(BF25=2,0,IF(BF25=3,0,0))</f>
        <v>0</v>
      </c>
      <c r="BE25" s="455">
        <f>IF(BF25=2,7.9,IF(BF25=3,3.1,0))</f>
        <v>0</v>
      </c>
      <c r="BF25" s="456">
        <f>IF(BG25&lt;2,1,IF(BG25&lt;11,2,IF(BG25&lt;33,3,IF(BG25&lt;46,4,5))))</f>
        <v>1</v>
      </c>
      <c r="BG25" s="457">
        <v>1</v>
      </c>
      <c r="BH25" s="457">
        <v>1</v>
      </c>
      <c r="BI25" s="456">
        <f>INDEX(Tiere!C$30:C$87,'Berech. Lagerraum flüssig+fest'!$BG25)</f>
        <v>0</v>
      </c>
      <c r="BJ25" s="456" t="str">
        <f>IF(BI25&gt;0.001,BI25,"1")</f>
        <v>1</v>
      </c>
      <c r="BK25" s="456">
        <f>U25*BI25+V25*BI25</f>
        <v>0</v>
      </c>
      <c r="BL25" s="455">
        <f>INDEX(Tiere!D$30:D$87,'Berech. Lagerraum flüssig+fest'!$BG25)</f>
        <v>0</v>
      </c>
      <c r="BM25" s="451">
        <f>INDEX(Tiere!E$30:E$87,'Berech. Lagerraum flüssig+fest'!$BG25)</f>
        <v>0</v>
      </c>
      <c r="BN25" s="452">
        <f>INDEX(Tiere!F$30:F$87,'Berech. Lagerraum flüssig+fest'!$BG25)</f>
        <v>0</v>
      </c>
      <c r="BO25" s="451">
        <f>INDEX(Tiere!J$30:J$87,'Berech. Lagerraum flüssig+fest'!$BG25)</f>
        <v>0</v>
      </c>
      <c r="BP25" s="451">
        <f>INDEX(Tiere!R$30:R$87,'Berech. Lagerraum flüssig+fest'!$BG25)</f>
        <v>0</v>
      </c>
      <c r="BQ25" s="455">
        <f>INDEX(Tiere!M$30:M$87,'Berech. Lagerraum flüssig+fest'!$BG25)</f>
        <v>0</v>
      </c>
      <c r="BR25" s="451">
        <f>INDEX(Tiere!N$30:N$87,'Berech. Lagerraum flüssig+fest'!$BG25)</f>
        <v>0</v>
      </c>
      <c r="BS25" s="452">
        <f>INDEX(Tiere!O$30:O$87,'Berech. Lagerraum flüssig+fest'!$BG25)</f>
        <v>0</v>
      </c>
      <c r="BT25" s="455">
        <f>INDEX(Tiere!T$30:T$87,'Berech. Lagerraum flüssig+fest'!$BG25)</f>
        <v>0</v>
      </c>
      <c r="BU25" s="452">
        <f>INDEX(Tiere!U$30:U$87,'Berech. Lagerraum flüssig+fest'!$BG25)</f>
        <v>0</v>
      </c>
      <c r="BV25" s="458">
        <f>INDEX(Tiere!V$30:V$87,'Berech. Lagerraum flüssig+fest'!$BG25)</f>
        <v>0</v>
      </c>
      <c r="BW25" s="452">
        <f>INDEX(Tiere!W$30:W$87,'Berech. Lagerraum flüssig+fest'!$BG25)</f>
        <v>0</v>
      </c>
      <c r="BX25" s="452">
        <f>INDEX(Tiere!X$30:X$87,'Berech. Lagerraum flüssig+fest'!$BG25)</f>
        <v>0</v>
      </c>
      <c r="BY25" s="452">
        <f>INDEX(Tiere!Y$30:Y$87,'Berech. Lagerraum flüssig+fest'!$BG25)</f>
        <v>0</v>
      </c>
      <c r="BZ25" s="445">
        <v>5</v>
      </c>
      <c r="CA25" s="445">
        <v>3</v>
      </c>
      <c r="CB25" s="449">
        <v>17</v>
      </c>
      <c r="CC25" s="449">
        <f>INDEX(Tiere!Z$30:Z$87,'Berech. Lagerraum flüssig+fest'!$BG25)</f>
        <v>0</v>
      </c>
      <c r="CD25" s="449">
        <f>INDEX(Tiere!AA$30:AA$87,'Berech. Lagerraum flüssig+fest'!$BG25)</f>
        <v>0</v>
      </c>
      <c r="CE25" s="459">
        <f t="shared" ref="CE25:CE36" si="21">IF(N25=" ",0,CC25*N25)</f>
        <v>0</v>
      </c>
      <c r="CF25" s="460">
        <f t="shared" ref="CF25:CF36" si="22">IF(N25=" ",0,CD25*N25)</f>
        <v>0</v>
      </c>
      <c r="CG25" s="445">
        <f>(AU25+AX25)/2*BO25</f>
        <v>0</v>
      </c>
      <c r="CH25" s="449">
        <f>(AV25+AY25)/2*BA25</f>
        <v>0</v>
      </c>
      <c r="CI25" s="445"/>
      <c r="CJ25" s="445" t="b">
        <f>AND(BG25&gt;1)</f>
        <v>0</v>
      </c>
      <c r="CK25" s="445"/>
      <c r="CL25" s="455">
        <f>INDEX(Tiere!AB$30:AB$87,'Berech. Lagerraum flüssig+fest'!$BG25)</f>
        <v>0</v>
      </c>
      <c r="CM25" s="455">
        <f>INDEX(Tiere!AC$30:AC$87,'Berech. Lagerraum flüssig+fest'!$BG25)</f>
        <v>0</v>
      </c>
      <c r="CN25" s="455">
        <f>INDEX(Tiere!AD$30:AD$87,'Berech. Lagerraum flüssig+fest'!$BG25)</f>
        <v>0</v>
      </c>
      <c r="CO25" s="196">
        <f>+((((AU25*BL25*(100-BT25)/100)*(CL25/100))+((BA25*BC25*AV25)*(CM25/100)))+(((AX25*BL25*(100-BT25)/100)*(CL25/100))+((BA25*BC25*AY25)*(CM25/100))))/2</f>
        <v>0</v>
      </c>
      <c r="CP25" s="201">
        <f>+((AG25+AN25+AJ25+AQ25)/2)/100*CN25</f>
        <v>0</v>
      </c>
      <c r="CQ25" s="26"/>
      <c r="CR25" s="26">
        <f>($D25+$E25)*($G25+$H25)/2/100*BL25*(100-BU25)/100</f>
        <v>0</v>
      </c>
      <c r="CS25" s="26">
        <f>($D25+$E25)*($G25+$H25)/2/100*BM25</f>
        <v>0</v>
      </c>
      <c r="CT25" s="26">
        <f>($D25+$E25)*($G25+$H25)/2/100*BN25</f>
        <v>0</v>
      </c>
    </row>
    <row r="26" spans="1:100" ht="15.75" customHeight="1" x14ac:dyDescent="0.25">
      <c r="A26" s="950"/>
      <c r="B26" s="951"/>
      <c r="C26" s="973"/>
      <c r="D26" s="278"/>
      <c r="E26" s="291"/>
      <c r="F26" s="163"/>
      <c r="G26" s="278"/>
      <c r="H26" s="288"/>
      <c r="I26" s="289" t="str">
        <f t="shared" ref="I26:I36" si="23">IF(P26+R26=0," ",(P26+R26)/2)</f>
        <v xml:space="preserve"> </v>
      </c>
      <c r="J26" s="289" t="str">
        <f>IF(Q26+S26=0," ",(Q26+S26)/2)</f>
        <v xml:space="preserve"> </v>
      </c>
      <c r="K26" s="26"/>
      <c r="L26" s="26"/>
      <c r="M26" s="445"/>
      <c r="N26" s="445" t="str">
        <f t="shared" si="0"/>
        <v xml:space="preserve"> </v>
      </c>
      <c r="O26" s="445"/>
      <c r="P26" s="445">
        <f t="shared" si="1"/>
        <v>0</v>
      </c>
      <c r="Q26" s="445">
        <f t="shared" si="2"/>
        <v>0</v>
      </c>
      <c r="R26" s="445">
        <f t="shared" si="3"/>
        <v>0</v>
      </c>
      <c r="S26" s="445">
        <f t="shared" si="4"/>
        <v>0</v>
      </c>
      <c r="T26" s="445" t="str">
        <f t="shared" si="5"/>
        <v xml:space="preserve"> </v>
      </c>
      <c r="U26" s="446">
        <f t="shared" si="6"/>
        <v>0</v>
      </c>
      <c r="V26" s="447">
        <f t="shared" si="7"/>
        <v>0</v>
      </c>
      <c r="W26" s="563">
        <f t="shared" ref="W26:W41" si="24">+(AU26*BL26*(100-BT26)/100)+(BA26*BC26*AV26)</f>
        <v>0</v>
      </c>
      <c r="X26" s="563">
        <f t="shared" ref="X26:X41" si="25">IF(BF26=2,W26,0)</f>
        <v>0</v>
      </c>
      <c r="Y26" s="563">
        <f t="shared" ref="Y26:Y41" si="26">AU26*BM26+AV26*BA26*BD26</f>
        <v>0</v>
      </c>
      <c r="Z26" s="563">
        <f t="shared" ref="Z26:Z41" si="27">AU26*BN26+AV26*BA26*BE26</f>
        <v>0</v>
      </c>
      <c r="AA26" s="448">
        <f t="shared" si="8"/>
        <v>0</v>
      </c>
      <c r="AB26" s="445">
        <f t="shared" si="9"/>
        <v>0</v>
      </c>
      <c r="AC26" s="445">
        <f t="shared" si="10"/>
        <v>0</v>
      </c>
      <c r="AD26" s="449">
        <f t="shared" si="11"/>
        <v>0</v>
      </c>
      <c r="AE26" s="450">
        <f>INDEX(Tiere!K$30:K$87,'Berech. Lagerraum flüssig+fest'!$BG26)</f>
        <v>0</v>
      </c>
      <c r="AF26" s="450">
        <f>INDEX(Tiere!S$30:S$87,'Berech. Lagerraum flüssig+fest'!BG26)</f>
        <v>0</v>
      </c>
      <c r="AG26" s="445">
        <f t="shared" ref="AG26:AG41" si="28">+(AV26*BL26*(100-BU26)/100)-BA26*AV26*BC26</f>
        <v>0</v>
      </c>
      <c r="AH26" s="445">
        <f t="shared" ref="AH26:AH41" si="29">AV26*BM26-AV26*BA26*BD26</f>
        <v>0</v>
      </c>
      <c r="AI26" s="445">
        <f t="shared" ref="AI26:AI41" si="30">AV26*BN26-AV26*BA26*BE26</f>
        <v>0</v>
      </c>
      <c r="AJ26" s="448">
        <f t="shared" si="12"/>
        <v>0</v>
      </c>
      <c r="AK26" s="445">
        <f t="shared" si="13"/>
        <v>0</v>
      </c>
      <c r="AL26" s="449">
        <f t="shared" si="14"/>
        <v>0</v>
      </c>
      <c r="AM26" s="450">
        <f>INDEX(Tiere!P$30:P$87,'Berech. Lagerraum flüssig+fest'!$BG26)</f>
        <v>0</v>
      </c>
      <c r="AN26" s="451">
        <f t="shared" ref="AN26:AN41" si="31">IF(BH26=1,AW26*BW26*BJ26*365/1000*BZ26,IF(BH26=2,AW26*BX26*BJ26*365/1000*BZ26,AW26*BY26*BJ26*365/1000*BZ26))</f>
        <v>0</v>
      </c>
      <c r="AO26" s="451">
        <f t="shared" ref="AO26:AO41" si="32">IF(BH26=1,AW26*BW26*BJ26*365/1000*CA26,IF(BH26=2,AW26*BX26*BJ26*365/1000*CA26,AW26*BY26*BJ26*365/1000*CA26))</f>
        <v>0</v>
      </c>
      <c r="AP26" s="451">
        <f t="shared" ref="AP26:AP41" si="33">IF(BH26=1,AW26*BW26*BJ26*365/1000*CB26,IF(BH26=2,AW26*BX26*BJ26*365/1000*CB26,AW26*BY26*BJ26*365/1000*CB26))</f>
        <v>0</v>
      </c>
      <c r="AQ26" s="448">
        <f t="shared" ref="AQ26:AQ41" si="34">IF(BH26=1,AZ26*BW26*BJ26*365/1000*BZ26,IF(BH26=2,AZ26*BX26*BJ26*365/1000*BZ26,AZ26*BY26*BJ26*365/1000*BZ26))</f>
        <v>0</v>
      </c>
      <c r="AR26" s="445">
        <f t="shared" ref="AR26:AR41" si="35">IF(BH26=1,AZ26*BW26*BJ26*365/1000*CA26,IF(BH26=2,AZ26*BX26*BJ26*365/1000*CA26,AZ26*BY26*BJ26*365/1000*CA26))</f>
        <v>0</v>
      </c>
      <c r="AS26" s="449">
        <f t="shared" ref="AS26:AS41" si="36">IF(BH26=1,AZ26*BW26*BJ26*365/1000*CB26,IF(BH26=2,AZ26*BX26*BJ26*365/1000*CB26,AZ26*BY26*BJ26*365/1000*CB26))</f>
        <v>0</v>
      </c>
      <c r="AT26" s="445"/>
      <c r="AU26" s="560">
        <f t="shared" si="15"/>
        <v>0</v>
      </c>
      <c r="AV26" s="561">
        <f t="shared" si="16"/>
        <v>0</v>
      </c>
      <c r="AW26" s="561">
        <f t="shared" si="17"/>
        <v>0</v>
      </c>
      <c r="AX26" s="448">
        <f t="shared" si="18"/>
        <v>0</v>
      </c>
      <c r="AY26" s="445">
        <f t="shared" si="19"/>
        <v>0</v>
      </c>
      <c r="AZ26" s="449">
        <f t="shared" si="20"/>
        <v>0</v>
      </c>
      <c r="BA26" s="453">
        <f t="shared" ref="BA26:BA36" si="37">IF(BH26=1,BP26,IF(BH26=2,BP26/2,0))</f>
        <v>0</v>
      </c>
      <c r="BB26" s="454">
        <f t="shared" ref="BB26:BB36" si="38">IF(BH26=1,BQ26,IF(BH26=2,BR26,BS26))</f>
        <v>0</v>
      </c>
      <c r="BC26" s="455">
        <f>IF(BF26=2,3.2,IF(BF26=3,3.3,0))</f>
        <v>0</v>
      </c>
      <c r="BD26" s="455">
        <f t="shared" ref="BD26:BD36" si="39">IF(BF26=2,0,IF(BF26=3,0,0))</f>
        <v>0</v>
      </c>
      <c r="BE26" s="455">
        <f t="shared" ref="BE26:BE36" si="40">IF(BF26=2,7.9,IF(BF26=3,3.1,0))</f>
        <v>0</v>
      </c>
      <c r="BF26" s="456">
        <f t="shared" ref="BF26:BF36" si="41">IF(BG26&lt;2,1,IF(BG26&lt;11,2,IF(BG26&lt;33,3,IF(BG26&lt;46,4,5))))</f>
        <v>1</v>
      </c>
      <c r="BG26" s="457">
        <v>1</v>
      </c>
      <c r="BH26" s="457">
        <v>1</v>
      </c>
      <c r="BI26" s="456">
        <f>INDEX(Tiere!C$30:C$87,'Berech. Lagerraum flüssig+fest'!$BG26)</f>
        <v>0</v>
      </c>
      <c r="BJ26" s="456" t="str">
        <f t="shared" ref="BJ26:BJ41" si="42">IF(BI26&gt;0.001,BI26,"1")</f>
        <v>1</v>
      </c>
      <c r="BK26" s="456">
        <f t="shared" ref="BK26:BK36" si="43">D26*BI26+E26*BI26</f>
        <v>0</v>
      </c>
      <c r="BL26" s="455">
        <f>INDEX(Tiere!D$30:D$87,'Berech. Lagerraum flüssig+fest'!$BG26)</f>
        <v>0</v>
      </c>
      <c r="BM26" s="451">
        <f>INDEX(Tiere!E$30:E$87,'Berech. Lagerraum flüssig+fest'!$BG26)</f>
        <v>0</v>
      </c>
      <c r="BN26" s="452">
        <f>INDEX(Tiere!F$30:F$87,'Berech. Lagerraum flüssig+fest'!$BG26)</f>
        <v>0</v>
      </c>
      <c r="BO26" s="451">
        <f>INDEX(Tiere!J$30:J$87,'Berech. Lagerraum flüssig+fest'!$BG26)</f>
        <v>0</v>
      </c>
      <c r="BP26" s="451">
        <f>INDEX(Tiere!R$30:R$87,'Berech. Lagerraum flüssig+fest'!$BG26)</f>
        <v>0</v>
      </c>
      <c r="BQ26" s="455">
        <f>INDEX(Tiere!M$30:M$87,'Berech. Lagerraum flüssig+fest'!$BG26)</f>
        <v>0</v>
      </c>
      <c r="BR26" s="451">
        <f>INDEX(Tiere!N$30:N$87,'Berech. Lagerraum flüssig+fest'!$BG26)</f>
        <v>0</v>
      </c>
      <c r="BS26" s="452">
        <f>INDEX(Tiere!O$30:O$87,'Berech. Lagerraum flüssig+fest'!$BG26)</f>
        <v>0</v>
      </c>
      <c r="BT26" s="455">
        <f>INDEX(Tiere!T$30:T$87,'Berech. Lagerraum flüssig+fest'!$BG26)</f>
        <v>0</v>
      </c>
      <c r="BU26" s="452">
        <f>INDEX(Tiere!U$30:U$87,'Berech. Lagerraum flüssig+fest'!$BG26)</f>
        <v>0</v>
      </c>
      <c r="BV26" s="458">
        <f>INDEX(Tiere!V$30:V$87,'Berech. Lagerraum flüssig+fest'!$BG26)</f>
        <v>0</v>
      </c>
      <c r="BW26" s="452">
        <f>INDEX(Tiere!W$30:W$87,'Berech. Lagerraum flüssig+fest'!$BG26)</f>
        <v>0</v>
      </c>
      <c r="BX26" s="452">
        <f>INDEX(Tiere!X$30:X$87,'Berech. Lagerraum flüssig+fest'!$BG26)</f>
        <v>0</v>
      </c>
      <c r="BY26" s="452">
        <f>INDEX(Tiere!Y$30:Y$87,'Berech. Lagerraum flüssig+fest'!$BG26)</f>
        <v>0</v>
      </c>
      <c r="BZ26" s="445">
        <v>5</v>
      </c>
      <c r="CA26" s="445">
        <v>3</v>
      </c>
      <c r="CB26" s="449">
        <v>17</v>
      </c>
      <c r="CC26" s="449">
        <f>INDEX(Tiere!Z$30:Z$87,'Berech. Lagerraum flüssig+fest'!$BG26)</f>
        <v>0</v>
      </c>
      <c r="CD26" s="449">
        <f>INDEX(Tiere!AA$30:AA$87,'Berech. Lagerraum flüssig+fest'!$BG26)</f>
        <v>0</v>
      </c>
      <c r="CE26" s="448">
        <f t="shared" si="21"/>
        <v>0</v>
      </c>
      <c r="CF26" s="449">
        <f t="shared" si="22"/>
        <v>0</v>
      </c>
      <c r="CG26" s="445">
        <f t="shared" ref="CG26:CG41" si="44">(AU26+AX26)/2*BO26</f>
        <v>0</v>
      </c>
      <c r="CH26" s="449">
        <f t="shared" ref="CH26:CH41" si="45">(AV26+AY26)/2*BA26</f>
        <v>0</v>
      </c>
      <c r="CI26" s="445"/>
      <c r="CJ26" s="445" t="b">
        <f t="shared" ref="CJ26:CJ36" si="46">AND(BG26&gt;1)</f>
        <v>0</v>
      </c>
      <c r="CK26" s="445"/>
      <c r="CL26" s="455">
        <f>INDEX(Tiere!AB$30:AB$87,'Berech. Lagerraum flüssig+fest'!$BG26)</f>
        <v>0</v>
      </c>
      <c r="CM26" s="455">
        <f>INDEX(Tiere!AC$30:AC$87,'Berech. Lagerraum flüssig+fest'!$BG26)</f>
        <v>0</v>
      </c>
      <c r="CN26" s="455">
        <f>INDEX(Tiere!AD$30:AD$87,'Berech. Lagerraum flüssig+fest'!$BG26)</f>
        <v>0</v>
      </c>
      <c r="CO26" s="196">
        <f t="shared" ref="CO26:CO41" si="47">+((((AU26*BL26*(100-BT26)/100)*(CL26/100))+((BA26*BC26*AV26)*(CM26/100)))+(((AX26*BL26*(100-BT26)/100)*(CL26/100))+((BA26*BC26*AY26)*(CM26/100))))/2</f>
        <v>0</v>
      </c>
      <c r="CP26" s="201">
        <f t="shared" ref="CP26:CP41" si="48">+((AG26+AN26+AJ26+AQ26)/2)/100*CN26</f>
        <v>0</v>
      </c>
      <c r="CQ26" s="26"/>
      <c r="CR26" s="26">
        <f t="shared" ref="CR26:CR41" si="49">($D26+$E26)*($G26+$H26)/2/100*BL26*(100-BU26)/100</f>
        <v>0</v>
      </c>
      <c r="CS26" s="26">
        <f t="shared" ref="CS26:CS41" si="50">($D26+$E26)*($G26+$H26)/2/100*BM26</f>
        <v>0</v>
      </c>
      <c r="CT26" s="26">
        <f t="shared" ref="CT26:CT41" si="51">($D26+$E26)*($G26+$H26)/2/100*BN26</f>
        <v>0</v>
      </c>
    </row>
    <row r="27" spans="1:100" ht="15.75" customHeight="1" x14ac:dyDescent="0.25">
      <c r="A27" s="950"/>
      <c r="B27" s="951"/>
      <c r="C27" s="951"/>
      <c r="D27" s="278"/>
      <c r="E27" s="291"/>
      <c r="F27" s="163"/>
      <c r="G27" s="278"/>
      <c r="H27" s="288"/>
      <c r="I27" s="289" t="str">
        <f t="shared" si="23"/>
        <v xml:space="preserve"> </v>
      </c>
      <c r="J27" s="289" t="str">
        <f>IF(Q27+S27=0," ",(Q27+S27)/2)</f>
        <v xml:space="preserve"> </v>
      </c>
      <c r="K27" s="26"/>
      <c r="L27" s="26"/>
      <c r="M27" s="445"/>
      <c r="N27" s="445" t="str">
        <f t="shared" si="0"/>
        <v xml:space="preserve"> </v>
      </c>
      <c r="O27" s="445"/>
      <c r="P27" s="445">
        <f t="shared" si="1"/>
        <v>0</v>
      </c>
      <c r="Q27" s="445">
        <f t="shared" si="2"/>
        <v>0</v>
      </c>
      <c r="R27" s="445">
        <f t="shared" si="3"/>
        <v>0</v>
      </c>
      <c r="S27" s="445">
        <f t="shared" si="4"/>
        <v>0</v>
      </c>
      <c r="T27" s="445" t="str">
        <f t="shared" si="5"/>
        <v xml:space="preserve"> </v>
      </c>
      <c r="U27" s="446">
        <f t="shared" si="6"/>
        <v>0</v>
      </c>
      <c r="V27" s="447">
        <f t="shared" si="7"/>
        <v>0</v>
      </c>
      <c r="W27" s="563">
        <f t="shared" si="24"/>
        <v>0</v>
      </c>
      <c r="X27" s="563">
        <f t="shared" si="25"/>
        <v>0</v>
      </c>
      <c r="Y27" s="563">
        <f t="shared" si="26"/>
        <v>0</v>
      </c>
      <c r="Z27" s="563">
        <f t="shared" si="27"/>
        <v>0</v>
      </c>
      <c r="AA27" s="448">
        <f t="shared" si="8"/>
        <v>0</v>
      </c>
      <c r="AB27" s="445">
        <f t="shared" si="9"/>
        <v>0</v>
      </c>
      <c r="AC27" s="445">
        <f t="shared" si="10"/>
        <v>0</v>
      </c>
      <c r="AD27" s="449">
        <f t="shared" si="11"/>
        <v>0</v>
      </c>
      <c r="AE27" s="450">
        <f>INDEX(Tiere!K$30:K$87,'Berech. Lagerraum flüssig+fest'!$BG27)</f>
        <v>0</v>
      </c>
      <c r="AF27" s="450">
        <f>INDEX(Tiere!S$30:S$87,'Berech. Lagerraum flüssig+fest'!BG27)</f>
        <v>0</v>
      </c>
      <c r="AG27" s="445">
        <f t="shared" si="28"/>
        <v>0</v>
      </c>
      <c r="AH27" s="445">
        <f t="shared" si="29"/>
        <v>0</v>
      </c>
      <c r="AI27" s="445">
        <f t="shared" si="30"/>
        <v>0</v>
      </c>
      <c r="AJ27" s="448">
        <f t="shared" si="12"/>
        <v>0</v>
      </c>
      <c r="AK27" s="445">
        <f t="shared" si="13"/>
        <v>0</v>
      </c>
      <c r="AL27" s="449">
        <f t="shared" si="14"/>
        <v>0</v>
      </c>
      <c r="AM27" s="450">
        <f>INDEX(Tiere!P$30:P$87,'Berech. Lagerraum flüssig+fest'!$BG27)</f>
        <v>0</v>
      </c>
      <c r="AN27" s="451">
        <f t="shared" si="31"/>
        <v>0</v>
      </c>
      <c r="AO27" s="451">
        <f t="shared" si="32"/>
        <v>0</v>
      </c>
      <c r="AP27" s="451">
        <f t="shared" si="33"/>
        <v>0</v>
      </c>
      <c r="AQ27" s="448">
        <f t="shared" si="34"/>
        <v>0</v>
      </c>
      <c r="AR27" s="445">
        <f t="shared" si="35"/>
        <v>0</v>
      </c>
      <c r="AS27" s="449">
        <f t="shared" si="36"/>
        <v>0</v>
      </c>
      <c r="AT27" s="445"/>
      <c r="AU27" s="560">
        <f t="shared" si="15"/>
        <v>0</v>
      </c>
      <c r="AV27" s="561">
        <f t="shared" si="16"/>
        <v>0</v>
      </c>
      <c r="AW27" s="561">
        <f t="shared" si="17"/>
        <v>0</v>
      </c>
      <c r="AX27" s="448">
        <f t="shared" si="18"/>
        <v>0</v>
      </c>
      <c r="AY27" s="445">
        <f t="shared" si="19"/>
        <v>0</v>
      </c>
      <c r="AZ27" s="449">
        <f t="shared" si="20"/>
        <v>0</v>
      </c>
      <c r="BA27" s="455">
        <f t="shared" si="37"/>
        <v>0</v>
      </c>
      <c r="BB27" s="452">
        <f t="shared" si="38"/>
        <v>0</v>
      </c>
      <c r="BC27" s="455">
        <f t="shared" ref="BC27:BC36" si="52">IF(BF27=2,3.2,IF(BF27=3,3.3,0))</f>
        <v>0</v>
      </c>
      <c r="BD27" s="455">
        <f t="shared" si="39"/>
        <v>0</v>
      </c>
      <c r="BE27" s="455">
        <f t="shared" si="40"/>
        <v>0</v>
      </c>
      <c r="BF27" s="456">
        <f t="shared" si="41"/>
        <v>1</v>
      </c>
      <c r="BG27" s="457">
        <v>1</v>
      </c>
      <c r="BH27" s="457">
        <v>1</v>
      </c>
      <c r="BI27" s="456">
        <f>INDEX(Tiere!C$30:C$87,'Berech. Lagerraum flüssig+fest'!$BG27)</f>
        <v>0</v>
      </c>
      <c r="BJ27" s="456" t="str">
        <f t="shared" si="42"/>
        <v>1</v>
      </c>
      <c r="BK27" s="456">
        <f t="shared" si="43"/>
        <v>0</v>
      </c>
      <c r="BL27" s="455">
        <f>INDEX(Tiere!D$30:D$87,'Berech. Lagerraum flüssig+fest'!$BG27)</f>
        <v>0</v>
      </c>
      <c r="BM27" s="451">
        <f>INDEX(Tiere!E$30:E$87,'Berech. Lagerraum flüssig+fest'!$BG27)</f>
        <v>0</v>
      </c>
      <c r="BN27" s="452">
        <f>INDEX(Tiere!F$30:F$87,'Berech. Lagerraum flüssig+fest'!$BG27)</f>
        <v>0</v>
      </c>
      <c r="BO27" s="451">
        <f>INDEX(Tiere!J$30:J$87,'Berech. Lagerraum flüssig+fest'!$BG27)</f>
        <v>0</v>
      </c>
      <c r="BP27" s="451">
        <f>INDEX(Tiere!R$30:R$87,'Berech. Lagerraum flüssig+fest'!$BG27)</f>
        <v>0</v>
      </c>
      <c r="BQ27" s="455">
        <f>INDEX(Tiere!M$30:M$87,'Berech. Lagerraum flüssig+fest'!$BG27)</f>
        <v>0</v>
      </c>
      <c r="BR27" s="451">
        <f>INDEX(Tiere!N$30:N$87,'Berech. Lagerraum flüssig+fest'!$BG27)</f>
        <v>0</v>
      </c>
      <c r="BS27" s="452">
        <f>INDEX(Tiere!O$30:O$87,'Berech. Lagerraum flüssig+fest'!$BG27)</f>
        <v>0</v>
      </c>
      <c r="BT27" s="455">
        <f>INDEX(Tiere!T$30:T$87,'Berech. Lagerraum flüssig+fest'!$BG27)</f>
        <v>0</v>
      </c>
      <c r="BU27" s="452">
        <f>INDEX(Tiere!U$30:U$87,'Berech. Lagerraum flüssig+fest'!$BG27)</f>
        <v>0</v>
      </c>
      <c r="BV27" s="458">
        <f>INDEX(Tiere!V$30:V$87,'Berech. Lagerraum flüssig+fest'!$BG27)</f>
        <v>0</v>
      </c>
      <c r="BW27" s="452">
        <f>INDEX(Tiere!W$30:W$87,'Berech. Lagerraum flüssig+fest'!$BG27)</f>
        <v>0</v>
      </c>
      <c r="BX27" s="452">
        <f>INDEX(Tiere!X$30:X$87,'Berech. Lagerraum flüssig+fest'!$BG27)</f>
        <v>0</v>
      </c>
      <c r="BY27" s="452">
        <f>INDEX(Tiere!Y$30:Y$87,'Berech. Lagerraum flüssig+fest'!$BG27)</f>
        <v>0</v>
      </c>
      <c r="BZ27" s="445">
        <v>5</v>
      </c>
      <c r="CA27" s="445">
        <v>3</v>
      </c>
      <c r="CB27" s="449">
        <v>17</v>
      </c>
      <c r="CC27" s="449">
        <f>INDEX(Tiere!Z$30:Z$87,'Berech. Lagerraum flüssig+fest'!$BG27)</f>
        <v>0</v>
      </c>
      <c r="CD27" s="449">
        <f>INDEX(Tiere!AA$30:AA$87,'Berech. Lagerraum flüssig+fest'!$BG27)</f>
        <v>0</v>
      </c>
      <c r="CE27" s="448">
        <f t="shared" si="21"/>
        <v>0</v>
      </c>
      <c r="CF27" s="449">
        <f t="shared" si="22"/>
        <v>0</v>
      </c>
      <c r="CG27" s="445">
        <f t="shared" si="44"/>
        <v>0</v>
      </c>
      <c r="CH27" s="449">
        <f t="shared" si="45"/>
        <v>0</v>
      </c>
      <c r="CI27" s="445"/>
      <c r="CJ27" s="445" t="b">
        <f t="shared" si="46"/>
        <v>0</v>
      </c>
      <c r="CK27" s="445"/>
      <c r="CL27" s="455">
        <f>INDEX(Tiere!AB$30:AB$87,'Berech. Lagerraum flüssig+fest'!$BG27)</f>
        <v>0</v>
      </c>
      <c r="CM27" s="455">
        <f>INDEX(Tiere!AC$30:AC$87,'Berech. Lagerraum flüssig+fest'!$BG27)</f>
        <v>0</v>
      </c>
      <c r="CN27" s="455">
        <f>INDEX(Tiere!AD$30:AD$87,'Berech. Lagerraum flüssig+fest'!$BG27)</f>
        <v>0</v>
      </c>
      <c r="CO27" s="196">
        <f t="shared" si="47"/>
        <v>0</v>
      </c>
      <c r="CP27" s="201">
        <f t="shared" si="48"/>
        <v>0</v>
      </c>
      <c r="CQ27" s="26"/>
      <c r="CR27" s="26">
        <f t="shared" si="49"/>
        <v>0</v>
      </c>
      <c r="CS27" s="26">
        <f t="shared" si="50"/>
        <v>0</v>
      </c>
      <c r="CT27" s="26">
        <f t="shared" si="51"/>
        <v>0</v>
      </c>
    </row>
    <row r="28" spans="1:100" ht="15.75" customHeight="1" x14ac:dyDescent="0.25">
      <c r="A28" s="950"/>
      <c r="B28" s="951"/>
      <c r="C28" s="951"/>
      <c r="D28" s="278"/>
      <c r="E28" s="291"/>
      <c r="F28" s="163"/>
      <c r="G28" s="278"/>
      <c r="H28" s="288"/>
      <c r="I28" s="289" t="str">
        <f t="shared" si="23"/>
        <v xml:space="preserve"> </v>
      </c>
      <c r="J28" s="289" t="str">
        <f>IF(Q28+S28=0," ",(Q28+S28)/2)</f>
        <v xml:space="preserve"> </v>
      </c>
      <c r="K28" s="26"/>
      <c r="L28" s="26"/>
      <c r="M28" s="445"/>
      <c r="N28" s="445" t="str">
        <f t="shared" si="0"/>
        <v xml:space="preserve"> </v>
      </c>
      <c r="O28" s="445"/>
      <c r="P28" s="445">
        <f t="shared" si="1"/>
        <v>0</v>
      </c>
      <c r="Q28" s="445">
        <f t="shared" si="2"/>
        <v>0</v>
      </c>
      <c r="R28" s="445">
        <f t="shared" si="3"/>
        <v>0</v>
      </c>
      <c r="S28" s="445">
        <f t="shared" si="4"/>
        <v>0</v>
      </c>
      <c r="T28" s="445" t="str">
        <f t="shared" si="5"/>
        <v xml:space="preserve"> </v>
      </c>
      <c r="U28" s="446">
        <f t="shared" si="6"/>
        <v>0</v>
      </c>
      <c r="V28" s="447">
        <f t="shared" si="7"/>
        <v>0</v>
      </c>
      <c r="W28" s="563">
        <f t="shared" si="24"/>
        <v>0</v>
      </c>
      <c r="X28" s="563">
        <f t="shared" si="25"/>
        <v>0</v>
      </c>
      <c r="Y28" s="563">
        <f t="shared" si="26"/>
        <v>0</v>
      </c>
      <c r="Z28" s="563">
        <f t="shared" si="27"/>
        <v>0</v>
      </c>
      <c r="AA28" s="448">
        <f t="shared" si="8"/>
        <v>0</v>
      </c>
      <c r="AB28" s="445">
        <f t="shared" si="9"/>
        <v>0</v>
      </c>
      <c r="AC28" s="445">
        <f t="shared" si="10"/>
        <v>0</v>
      </c>
      <c r="AD28" s="449">
        <f t="shared" si="11"/>
        <v>0</v>
      </c>
      <c r="AE28" s="450">
        <f>INDEX(Tiere!K$30:K$87,'Berech. Lagerraum flüssig+fest'!$BG28)</f>
        <v>0</v>
      </c>
      <c r="AF28" s="450">
        <f>INDEX(Tiere!S$30:S$87,'Berech. Lagerraum flüssig+fest'!BG28)</f>
        <v>0</v>
      </c>
      <c r="AG28" s="445">
        <f t="shared" si="28"/>
        <v>0</v>
      </c>
      <c r="AH28" s="445">
        <f t="shared" si="29"/>
        <v>0</v>
      </c>
      <c r="AI28" s="445">
        <f t="shared" si="30"/>
        <v>0</v>
      </c>
      <c r="AJ28" s="448">
        <f t="shared" si="12"/>
        <v>0</v>
      </c>
      <c r="AK28" s="445">
        <f t="shared" si="13"/>
        <v>0</v>
      </c>
      <c r="AL28" s="449">
        <f t="shared" si="14"/>
        <v>0</v>
      </c>
      <c r="AM28" s="450">
        <f>INDEX(Tiere!P$30:P$87,'Berech. Lagerraum flüssig+fest'!$BG28)</f>
        <v>0</v>
      </c>
      <c r="AN28" s="451">
        <f t="shared" si="31"/>
        <v>0</v>
      </c>
      <c r="AO28" s="451">
        <f t="shared" si="32"/>
        <v>0</v>
      </c>
      <c r="AP28" s="451">
        <f t="shared" si="33"/>
        <v>0</v>
      </c>
      <c r="AQ28" s="448">
        <f t="shared" si="34"/>
        <v>0</v>
      </c>
      <c r="AR28" s="445">
        <f t="shared" si="35"/>
        <v>0</v>
      </c>
      <c r="AS28" s="449">
        <f t="shared" si="36"/>
        <v>0</v>
      </c>
      <c r="AT28" s="445"/>
      <c r="AU28" s="560">
        <f t="shared" si="15"/>
        <v>0</v>
      </c>
      <c r="AV28" s="561">
        <f t="shared" si="16"/>
        <v>0</v>
      </c>
      <c r="AW28" s="561">
        <f t="shared" si="17"/>
        <v>0</v>
      </c>
      <c r="AX28" s="448">
        <f t="shared" si="18"/>
        <v>0</v>
      </c>
      <c r="AY28" s="445">
        <f t="shared" si="19"/>
        <v>0</v>
      </c>
      <c r="AZ28" s="449">
        <f t="shared" si="20"/>
        <v>0</v>
      </c>
      <c r="BA28" s="455">
        <f t="shared" si="37"/>
        <v>0</v>
      </c>
      <c r="BB28" s="452">
        <f t="shared" si="38"/>
        <v>0</v>
      </c>
      <c r="BC28" s="455">
        <f t="shared" si="52"/>
        <v>0</v>
      </c>
      <c r="BD28" s="455">
        <f t="shared" si="39"/>
        <v>0</v>
      </c>
      <c r="BE28" s="455">
        <f t="shared" si="40"/>
        <v>0</v>
      </c>
      <c r="BF28" s="456">
        <f t="shared" si="41"/>
        <v>1</v>
      </c>
      <c r="BG28" s="457">
        <v>1</v>
      </c>
      <c r="BH28" s="457">
        <v>1</v>
      </c>
      <c r="BI28" s="456">
        <f>INDEX(Tiere!C$30:C$87,'Berech. Lagerraum flüssig+fest'!$BG28)</f>
        <v>0</v>
      </c>
      <c r="BJ28" s="456" t="str">
        <f t="shared" si="42"/>
        <v>1</v>
      </c>
      <c r="BK28" s="456">
        <f t="shared" si="43"/>
        <v>0</v>
      </c>
      <c r="BL28" s="455">
        <f>INDEX(Tiere!D$30:D$87,'Berech. Lagerraum flüssig+fest'!$BG28)</f>
        <v>0</v>
      </c>
      <c r="BM28" s="451">
        <f>INDEX(Tiere!E$30:E$87,'Berech. Lagerraum flüssig+fest'!$BG28)</f>
        <v>0</v>
      </c>
      <c r="BN28" s="452">
        <f>INDEX(Tiere!F$30:F$87,'Berech. Lagerraum flüssig+fest'!$BG28)</f>
        <v>0</v>
      </c>
      <c r="BO28" s="451">
        <f>INDEX(Tiere!J$30:J$87,'Berech. Lagerraum flüssig+fest'!$BG28)</f>
        <v>0</v>
      </c>
      <c r="BP28" s="451">
        <f>INDEX(Tiere!R$30:R$87,'Berech. Lagerraum flüssig+fest'!$BG28)</f>
        <v>0</v>
      </c>
      <c r="BQ28" s="455">
        <f>INDEX(Tiere!M$30:M$87,'Berech. Lagerraum flüssig+fest'!$BG28)</f>
        <v>0</v>
      </c>
      <c r="BR28" s="451">
        <f>INDEX(Tiere!N$30:N$87,'Berech. Lagerraum flüssig+fest'!$BG28)</f>
        <v>0</v>
      </c>
      <c r="BS28" s="452">
        <f>INDEX(Tiere!O$30:O$87,'Berech. Lagerraum flüssig+fest'!$BG28)</f>
        <v>0</v>
      </c>
      <c r="BT28" s="455">
        <f>INDEX(Tiere!T$30:T$87,'Berech. Lagerraum flüssig+fest'!$BG28)</f>
        <v>0</v>
      </c>
      <c r="BU28" s="452">
        <f>INDEX(Tiere!U$30:U$87,'Berech. Lagerraum flüssig+fest'!$BG28)</f>
        <v>0</v>
      </c>
      <c r="BV28" s="458">
        <f>INDEX(Tiere!V$30:V$87,'Berech. Lagerraum flüssig+fest'!$BG28)</f>
        <v>0</v>
      </c>
      <c r="BW28" s="452">
        <f>INDEX(Tiere!W$30:W$87,'Berech. Lagerraum flüssig+fest'!$BG28)</f>
        <v>0</v>
      </c>
      <c r="BX28" s="452">
        <f>INDEX(Tiere!X$30:X$87,'Berech. Lagerraum flüssig+fest'!$BG28)</f>
        <v>0</v>
      </c>
      <c r="BY28" s="452">
        <f>INDEX(Tiere!Y$30:Y$87,'Berech. Lagerraum flüssig+fest'!$BG28)</f>
        <v>0</v>
      </c>
      <c r="BZ28" s="445">
        <v>5</v>
      </c>
      <c r="CA28" s="445">
        <v>3</v>
      </c>
      <c r="CB28" s="449">
        <v>17</v>
      </c>
      <c r="CC28" s="449">
        <f>INDEX(Tiere!Z$30:Z$87,'Berech. Lagerraum flüssig+fest'!$BG28)</f>
        <v>0</v>
      </c>
      <c r="CD28" s="449">
        <f>INDEX(Tiere!AA$30:AA$87,'Berech. Lagerraum flüssig+fest'!$BG28)</f>
        <v>0</v>
      </c>
      <c r="CE28" s="448">
        <f t="shared" si="21"/>
        <v>0</v>
      </c>
      <c r="CF28" s="449">
        <f t="shared" si="22"/>
        <v>0</v>
      </c>
      <c r="CG28" s="445">
        <f t="shared" si="44"/>
        <v>0</v>
      </c>
      <c r="CH28" s="449">
        <f t="shared" si="45"/>
        <v>0</v>
      </c>
      <c r="CI28" s="445"/>
      <c r="CJ28" s="445" t="b">
        <f t="shared" si="46"/>
        <v>0</v>
      </c>
      <c r="CK28" s="445"/>
      <c r="CL28" s="455">
        <f>INDEX(Tiere!AB$30:AB$87,'Berech. Lagerraum flüssig+fest'!$BG28)</f>
        <v>0</v>
      </c>
      <c r="CM28" s="455">
        <f>INDEX(Tiere!AC$30:AC$87,'Berech. Lagerraum flüssig+fest'!$BG28)</f>
        <v>0</v>
      </c>
      <c r="CN28" s="455">
        <f>INDEX(Tiere!AD$30:AD$87,'Berech. Lagerraum flüssig+fest'!$BG28)</f>
        <v>0</v>
      </c>
      <c r="CO28" s="196">
        <f t="shared" si="47"/>
        <v>0</v>
      </c>
      <c r="CP28" s="201">
        <f t="shared" si="48"/>
        <v>0</v>
      </c>
      <c r="CQ28" s="26"/>
      <c r="CR28" s="26">
        <f t="shared" si="49"/>
        <v>0</v>
      </c>
      <c r="CS28" s="26">
        <f t="shared" si="50"/>
        <v>0</v>
      </c>
      <c r="CT28" s="26">
        <f t="shared" si="51"/>
        <v>0</v>
      </c>
    </row>
    <row r="29" spans="1:100" ht="15.75" customHeight="1" x14ac:dyDescent="0.25">
      <c r="A29" s="950"/>
      <c r="B29" s="951"/>
      <c r="C29" s="951"/>
      <c r="D29" s="278"/>
      <c r="E29" s="291"/>
      <c r="F29" s="163"/>
      <c r="G29" s="278"/>
      <c r="H29" s="288"/>
      <c r="I29" s="289" t="str">
        <f t="shared" si="23"/>
        <v xml:space="preserve"> </v>
      </c>
      <c r="J29" s="289" t="str">
        <f t="shared" ref="J29:J36" si="53">IF(Q29+S29=0," ",(Q29+S29)/2)</f>
        <v xml:space="preserve"> </v>
      </c>
      <c r="K29" s="27"/>
      <c r="L29" s="27"/>
      <c r="M29" s="417"/>
      <c r="N29" s="445" t="str">
        <f t="shared" si="0"/>
        <v xml:space="preserve"> </v>
      </c>
      <c r="O29" s="445"/>
      <c r="P29" s="445">
        <f t="shared" si="1"/>
        <v>0</v>
      </c>
      <c r="Q29" s="445">
        <f t="shared" si="2"/>
        <v>0</v>
      </c>
      <c r="R29" s="445">
        <f t="shared" si="3"/>
        <v>0</v>
      </c>
      <c r="S29" s="445">
        <f>IF(CJ29=FALSE,0,IF(V29=0,0,IF(AY29+AV29=0,0,IF(BF29=4,AY29*BB29-(D29*(1-H29/100)*BB29)*((1220/1000)/(2*11)),AY29*BB29))))</f>
        <v>0</v>
      </c>
      <c r="T29" s="445" t="str">
        <f t="shared" si="5"/>
        <v xml:space="preserve"> </v>
      </c>
      <c r="U29" s="446">
        <f t="shared" si="6"/>
        <v>0</v>
      </c>
      <c r="V29" s="447">
        <f t="shared" si="7"/>
        <v>0</v>
      </c>
      <c r="W29" s="563">
        <f t="shared" si="24"/>
        <v>0</v>
      </c>
      <c r="X29" s="563">
        <f t="shared" si="25"/>
        <v>0</v>
      </c>
      <c r="Y29" s="563">
        <f t="shared" si="26"/>
        <v>0</v>
      </c>
      <c r="Z29" s="563">
        <f t="shared" si="27"/>
        <v>0</v>
      </c>
      <c r="AA29" s="448">
        <f t="shared" si="8"/>
        <v>0</v>
      </c>
      <c r="AB29" s="445">
        <f t="shared" si="9"/>
        <v>0</v>
      </c>
      <c r="AC29" s="445">
        <f t="shared" si="10"/>
        <v>0</v>
      </c>
      <c r="AD29" s="449">
        <f t="shared" si="11"/>
        <v>0</v>
      </c>
      <c r="AE29" s="450">
        <f>INDEX(Tiere!K$30:K$87,'Berech. Lagerraum flüssig+fest'!$BG29)</f>
        <v>0</v>
      </c>
      <c r="AF29" s="450">
        <f>INDEX(Tiere!S$30:S$87,'Berech. Lagerraum flüssig+fest'!BG29)</f>
        <v>0</v>
      </c>
      <c r="AG29" s="445">
        <f t="shared" si="28"/>
        <v>0</v>
      </c>
      <c r="AH29" s="445">
        <f t="shared" si="29"/>
        <v>0</v>
      </c>
      <c r="AI29" s="445">
        <f t="shared" si="30"/>
        <v>0</v>
      </c>
      <c r="AJ29" s="448">
        <f t="shared" si="12"/>
        <v>0</v>
      </c>
      <c r="AK29" s="445">
        <f t="shared" si="13"/>
        <v>0</v>
      </c>
      <c r="AL29" s="449">
        <f t="shared" si="14"/>
        <v>0</v>
      </c>
      <c r="AM29" s="450">
        <f>INDEX(Tiere!P$30:P$87,'Berech. Lagerraum flüssig+fest'!$BG29)</f>
        <v>0</v>
      </c>
      <c r="AN29" s="451">
        <f t="shared" si="31"/>
        <v>0</v>
      </c>
      <c r="AO29" s="451">
        <f t="shared" si="32"/>
        <v>0</v>
      </c>
      <c r="AP29" s="451">
        <f t="shared" si="33"/>
        <v>0</v>
      </c>
      <c r="AQ29" s="448">
        <f t="shared" si="34"/>
        <v>0</v>
      </c>
      <c r="AR29" s="445">
        <f t="shared" si="35"/>
        <v>0</v>
      </c>
      <c r="AS29" s="449">
        <f t="shared" si="36"/>
        <v>0</v>
      </c>
      <c r="AT29" s="445"/>
      <c r="AU29" s="560">
        <f t="shared" si="15"/>
        <v>0</v>
      </c>
      <c r="AV29" s="561">
        <f t="shared" si="16"/>
        <v>0</v>
      </c>
      <c r="AW29" s="561">
        <f t="shared" si="17"/>
        <v>0</v>
      </c>
      <c r="AX29" s="448">
        <f t="shared" si="18"/>
        <v>0</v>
      </c>
      <c r="AY29" s="445">
        <f t="shared" si="19"/>
        <v>0</v>
      </c>
      <c r="AZ29" s="449">
        <f t="shared" si="20"/>
        <v>0</v>
      </c>
      <c r="BA29" s="455">
        <f t="shared" si="37"/>
        <v>0</v>
      </c>
      <c r="BB29" s="454">
        <f t="shared" si="38"/>
        <v>0</v>
      </c>
      <c r="BC29" s="455">
        <f t="shared" si="52"/>
        <v>0</v>
      </c>
      <c r="BD29" s="455">
        <f t="shared" si="39"/>
        <v>0</v>
      </c>
      <c r="BE29" s="455">
        <f t="shared" si="40"/>
        <v>0</v>
      </c>
      <c r="BF29" s="456">
        <f t="shared" si="41"/>
        <v>1</v>
      </c>
      <c r="BG29" s="457">
        <v>1</v>
      </c>
      <c r="BH29" s="457">
        <v>1</v>
      </c>
      <c r="BI29" s="456">
        <f>INDEX(Tiere!C$30:C$87,'Berech. Lagerraum flüssig+fest'!$BG29)</f>
        <v>0</v>
      </c>
      <c r="BJ29" s="456" t="str">
        <f t="shared" si="42"/>
        <v>1</v>
      </c>
      <c r="BK29" s="456">
        <f t="shared" si="43"/>
        <v>0</v>
      </c>
      <c r="BL29" s="455">
        <f>INDEX(Tiere!D$30:D$87,'Berech. Lagerraum flüssig+fest'!$BG29)</f>
        <v>0</v>
      </c>
      <c r="BM29" s="451">
        <f>INDEX(Tiere!E$30:E$87,'Berech. Lagerraum flüssig+fest'!$BG29)</f>
        <v>0</v>
      </c>
      <c r="BN29" s="452">
        <f>INDEX(Tiere!F$30:F$87,'Berech. Lagerraum flüssig+fest'!$BG29)</f>
        <v>0</v>
      </c>
      <c r="BO29" s="451">
        <f>INDEX(Tiere!J$30:J$87,'Berech. Lagerraum flüssig+fest'!$BG29)</f>
        <v>0</v>
      </c>
      <c r="BP29" s="451">
        <f>INDEX(Tiere!R$30:R$87,'Berech. Lagerraum flüssig+fest'!$BG29)</f>
        <v>0</v>
      </c>
      <c r="BQ29" s="455">
        <f>INDEX(Tiere!M$30:M$87,'Berech. Lagerraum flüssig+fest'!$BG29)</f>
        <v>0</v>
      </c>
      <c r="BR29" s="451">
        <f>INDEX(Tiere!N$30:N$87,'Berech. Lagerraum flüssig+fest'!$BG29)</f>
        <v>0</v>
      </c>
      <c r="BS29" s="452">
        <f>INDEX(Tiere!O$30:O$87,'Berech. Lagerraum flüssig+fest'!$BG29)</f>
        <v>0</v>
      </c>
      <c r="BT29" s="455">
        <f>INDEX(Tiere!T$30:T$87,'Berech. Lagerraum flüssig+fest'!$BG29)</f>
        <v>0</v>
      </c>
      <c r="BU29" s="452">
        <f>INDEX(Tiere!U$30:U$87,'Berech. Lagerraum flüssig+fest'!$BG29)</f>
        <v>0</v>
      </c>
      <c r="BV29" s="458">
        <f>INDEX(Tiere!V$30:V$87,'Berech. Lagerraum flüssig+fest'!$BG29)</f>
        <v>0</v>
      </c>
      <c r="BW29" s="452">
        <f>INDEX(Tiere!W$30:W$87,'Berech. Lagerraum flüssig+fest'!$BG29)</f>
        <v>0</v>
      </c>
      <c r="BX29" s="452">
        <f>INDEX(Tiere!X$30:X$87,'Berech. Lagerraum flüssig+fest'!$BG29)</f>
        <v>0</v>
      </c>
      <c r="BY29" s="452">
        <f>INDEX(Tiere!Y$30:Y$87,'Berech. Lagerraum flüssig+fest'!$BG29)</f>
        <v>0</v>
      </c>
      <c r="BZ29" s="417">
        <v>5</v>
      </c>
      <c r="CA29" s="417">
        <v>3</v>
      </c>
      <c r="CB29" s="439">
        <v>17</v>
      </c>
      <c r="CC29" s="449">
        <f>INDEX(Tiere!Z$30:Z$87,'Berech. Lagerraum flüssig+fest'!$BG29)</f>
        <v>0</v>
      </c>
      <c r="CD29" s="449">
        <f>INDEX(Tiere!AA$30:AA$87,'Berech. Lagerraum flüssig+fest'!$BG29)</f>
        <v>0</v>
      </c>
      <c r="CE29" s="448">
        <f t="shared" si="21"/>
        <v>0</v>
      </c>
      <c r="CF29" s="449">
        <f t="shared" si="22"/>
        <v>0</v>
      </c>
      <c r="CG29" s="445">
        <f t="shared" si="44"/>
        <v>0</v>
      </c>
      <c r="CH29" s="449">
        <f t="shared" si="45"/>
        <v>0</v>
      </c>
      <c r="CI29" s="417"/>
      <c r="CJ29" s="445" t="b">
        <f t="shared" si="46"/>
        <v>0</v>
      </c>
      <c r="CK29" s="417"/>
      <c r="CL29" s="455">
        <f>INDEX(Tiere!AB$30:AB$87,'Berech. Lagerraum flüssig+fest'!$BG29)</f>
        <v>0</v>
      </c>
      <c r="CM29" s="455">
        <f>INDEX(Tiere!AC$30:AC$87,'Berech. Lagerraum flüssig+fest'!$BG29)</f>
        <v>0</v>
      </c>
      <c r="CN29" s="455">
        <f>INDEX(Tiere!AD$30:AD$87,'Berech. Lagerraum flüssig+fest'!$BG29)</f>
        <v>0</v>
      </c>
      <c r="CO29" s="196">
        <f t="shared" si="47"/>
        <v>0</v>
      </c>
      <c r="CP29" s="201">
        <f t="shared" si="48"/>
        <v>0</v>
      </c>
      <c r="CQ29" s="27"/>
      <c r="CR29" s="26">
        <f t="shared" si="49"/>
        <v>0</v>
      </c>
      <c r="CS29" s="26">
        <f t="shared" si="50"/>
        <v>0</v>
      </c>
      <c r="CT29" s="26">
        <f t="shared" si="51"/>
        <v>0</v>
      </c>
      <c r="CU29" s="42"/>
    </row>
    <row r="30" spans="1:100" ht="15.75" customHeight="1" x14ac:dyDescent="0.25">
      <c r="A30" s="950"/>
      <c r="B30" s="951"/>
      <c r="C30" s="951"/>
      <c r="D30" s="278"/>
      <c r="E30" s="291"/>
      <c r="F30" s="163"/>
      <c r="G30" s="855"/>
      <c r="H30" s="288"/>
      <c r="I30" s="289" t="str">
        <f t="shared" si="23"/>
        <v xml:space="preserve"> </v>
      </c>
      <c r="J30" s="289" t="str">
        <f t="shared" si="53"/>
        <v xml:space="preserve"> </v>
      </c>
      <c r="K30" s="27"/>
      <c r="L30" s="27"/>
      <c r="M30" s="417"/>
      <c r="N30" s="445" t="str">
        <f t="shared" si="0"/>
        <v xml:space="preserve"> </v>
      </c>
      <c r="O30" s="445"/>
      <c r="P30" s="445">
        <f t="shared" si="1"/>
        <v>0</v>
      </c>
      <c r="Q30" s="445">
        <f t="shared" si="2"/>
        <v>0</v>
      </c>
      <c r="R30" s="445">
        <f t="shared" si="3"/>
        <v>0</v>
      </c>
      <c r="S30" s="445">
        <f t="shared" si="4"/>
        <v>0</v>
      </c>
      <c r="T30" s="445" t="str">
        <f t="shared" si="5"/>
        <v xml:space="preserve"> </v>
      </c>
      <c r="U30" s="446">
        <f t="shared" si="6"/>
        <v>0</v>
      </c>
      <c r="V30" s="447">
        <f t="shared" si="7"/>
        <v>0</v>
      </c>
      <c r="W30" s="563">
        <f t="shared" si="24"/>
        <v>0</v>
      </c>
      <c r="X30" s="563">
        <f t="shared" si="25"/>
        <v>0</v>
      </c>
      <c r="Y30" s="563">
        <f t="shared" si="26"/>
        <v>0</v>
      </c>
      <c r="Z30" s="563">
        <f t="shared" si="27"/>
        <v>0</v>
      </c>
      <c r="AA30" s="448">
        <f t="shared" si="8"/>
        <v>0</v>
      </c>
      <c r="AB30" s="445">
        <f t="shared" si="9"/>
        <v>0</v>
      </c>
      <c r="AC30" s="445">
        <f t="shared" si="10"/>
        <v>0</v>
      </c>
      <c r="AD30" s="449">
        <f t="shared" si="11"/>
        <v>0</v>
      </c>
      <c r="AE30" s="450">
        <f>INDEX(Tiere!K$30:K$87,'Berech. Lagerraum flüssig+fest'!$BG30)</f>
        <v>0</v>
      </c>
      <c r="AF30" s="450">
        <f>INDEX(Tiere!S$30:S$87,'Berech. Lagerraum flüssig+fest'!BG30)</f>
        <v>0</v>
      </c>
      <c r="AG30" s="445">
        <f t="shared" si="28"/>
        <v>0</v>
      </c>
      <c r="AH30" s="445">
        <f t="shared" si="29"/>
        <v>0</v>
      </c>
      <c r="AI30" s="445">
        <f t="shared" si="30"/>
        <v>0</v>
      </c>
      <c r="AJ30" s="448">
        <f t="shared" si="12"/>
        <v>0</v>
      </c>
      <c r="AK30" s="445">
        <f t="shared" si="13"/>
        <v>0</v>
      </c>
      <c r="AL30" s="449">
        <f t="shared" si="14"/>
        <v>0</v>
      </c>
      <c r="AM30" s="450">
        <f>INDEX(Tiere!P$30:P$87,'Berech. Lagerraum flüssig+fest'!$BG30)</f>
        <v>0</v>
      </c>
      <c r="AN30" s="451">
        <f t="shared" si="31"/>
        <v>0</v>
      </c>
      <c r="AO30" s="451">
        <f t="shared" si="32"/>
        <v>0</v>
      </c>
      <c r="AP30" s="451">
        <f t="shared" si="33"/>
        <v>0</v>
      </c>
      <c r="AQ30" s="448">
        <f t="shared" si="34"/>
        <v>0</v>
      </c>
      <c r="AR30" s="445">
        <f t="shared" si="35"/>
        <v>0</v>
      </c>
      <c r="AS30" s="449">
        <f t="shared" si="36"/>
        <v>0</v>
      </c>
      <c r="AT30" s="445"/>
      <c r="AU30" s="560">
        <f t="shared" si="15"/>
        <v>0</v>
      </c>
      <c r="AV30" s="561">
        <f t="shared" si="16"/>
        <v>0</v>
      </c>
      <c r="AW30" s="561">
        <f t="shared" si="17"/>
        <v>0</v>
      </c>
      <c r="AX30" s="448">
        <f t="shared" si="18"/>
        <v>0</v>
      </c>
      <c r="AY30" s="445">
        <f t="shared" si="19"/>
        <v>0</v>
      </c>
      <c r="AZ30" s="449">
        <f t="shared" si="20"/>
        <v>0</v>
      </c>
      <c r="BA30" s="455">
        <f t="shared" si="37"/>
        <v>0</v>
      </c>
      <c r="BB30" s="452">
        <f t="shared" si="38"/>
        <v>0</v>
      </c>
      <c r="BC30" s="455">
        <f t="shared" si="52"/>
        <v>0</v>
      </c>
      <c r="BD30" s="455">
        <f t="shared" si="39"/>
        <v>0</v>
      </c>
      <c r="BE30" s="455">
        <f t="shared" si="40"/>
        <v>0</v>
      </c>
      <c r="BF30" s="456">
        <f t="shared" si="41"/>
        <v>1</v>
      </c>
      <c r="BG30" s="457">
        <v>1</v>
      </c>
      <c r="BH30" s="457">
        <v>1</v>
      </c>
      <c r="BI30" s="456">
        <f>INDEX(Tiere!C$30:C$87,'Berech. Lagerraum flüssig+fest'!$BG30)</f>
        <v>0</v>
      </c>
      <c r="BJ30" s="456" t="str">
        <f t="shared" si="42"/>
        <v>1</v>
      </c>
      <c r="BK30" s="456">
        <f t="shared" si="43"/>
        <v>0</v>
      </c>
      <c r="BL30" s="455">
        <f>INDEX(Tiere!D$30:D$87,'Berech. Lagerraum flüssig+fest'!$BG30)</f>
        <v>0</v>
      </c>
      <c r="BM30" s="451">
        <f>INDEX(Tiere!E$30:E$87,'Berech. Lagerraum flüssig+fest'!$BG30)</f>
        <v>0</v>
      </c>
      <c r="BN30" s="452">
        <f>INDEX(Tiere!F$30:F$87,'Berech. Lagerraum flüssig+fest'!$BG30)</f>
        <v>0</v>
      </c>
      <c r="BO30" s="451">
        <f>INDEX(Tiere!J$30:J$87,'Berech. Lagerraum flüssig+fest'!$BG30)</f>
        <v>0</v>
      </c>
      <c r="BP30" s="451">
        <f>INDEX(Tiere!R$30:R$87,'Berech. Lagerraum flüssig+fest'!$BG30)</f>
        <v>0</v>
      </c>
      <c r="BQ30" s="455">
        <f>INDEX(Tiere!M$30:M$87,'Berech. Lagerraum flüssig+fest'!$BG30)</f>
        <v>0</v>
      </c>
      <c r="BR30" s="451">
        <f>INDEX(Tiere!N$30:N$87,'Berech. Lagerraum flüssig+fest'!$BG30)</f>
        <v>0</v>
      </c>
      <c r="BS30" s="452">
        <f>INDEX(Tiere!O$30:O$87,'Berech. Lagerraum flüssig+fest'!$BG30)</f>
        <v>0</v>
      </c>
      <c r="BT30" s="455">
        <f>INDEX(Tiere!T$30:T$87,'Berech. Lagerraum flüssig+fest'!$BG30)</f>
        <v>0</v>
      </c>
      <c r="BU30" s="452">
        <f>INDEX(Tiere!U$30:U$87,'Berech. Lagerraum flüssig+fest'!$BG30)</f>
        <v>0</v>
      </c>
      <c r="BV30" s="458">
        <f>INDEX(Tiere!V$30:V$87,'Berech. Lagerraum flüssig+fest'!$BG30)</f>
        <v>0</v>
      </c>
      <c r="BW30" s="452">
        <f>INDEX(Tiere!W$30:W$87,'Berech. Lagerraum flüssig+fest'!$BG30)</f>
        <v>0</v>
      </c>
      <c r="BX30" s="452">
        <f>INDEX(Tiere!X$30:X$87,'Berech. Lagerraum flüssig+fest'!$BG30)</f>
        <v>0</v>
      </c>
      <c r="BY30" s="452">
        <f>INDEX(Tiere!Y$30:Y$87,'Berech. Lagerraum flüssig+fest'!$BG30)</f>
        <v>0</v>
      </c>
      <c r="BZ30" s="417">
        <v>5</v>
      </c>
      <c r="CA30" s="417">
        <v>3</v>
      </c>
      <c r="CB30" s="439">
        <v>17</v>
      </c>
      <c r="CC30" s="449">
        <f>INDEX(Tiere!Z$30:Z$87,'Berech. Lagerraum flüssig+fest'!$BG30)</f>
        <v>0</v>
      </c>
      <c r="CD30" s="449">
        <f>INDEX(Tiere!AA$30:AA$87,'Berech. Lagerraum flüssig+fest'!$BG30)</f>
        <v>0</v>
      </c>
      <c r="CE30" s="448">
        <f t="shared" si="21"/>
        <v>0</v>
      </c>
      <c r="CF30" s="449">
        <f t="shared" si="22"/>
        <v>0</v>
      </c>
      <c r="CG30" s="445">
        <f t="shared" si="44"/>
        <v>0</v>
      </c>
      <c r="CH30" s="449">
        <f t="shared" si="45"/>
        <v>0</v>
      </c>
      <c r="CI30" s="417"/>
      <c r="CJ30" s="445" t="b">
        <f t="shared" si="46"/>
        <v>0</v>
      </c>
      <c r="CK30" s="417"/>
      <c r="CL30" s="455">
        <f>INDEX(Tiere!AB$30:AB$87,'Berech. Lagerraum flüssig+fest'!$BG30)</f>
        <v>0</v>
      </c>
      <c r="CM30" s="455">
        <f>INDEX(Tiere!AC$30:AC$87,'Berech. Lagerraum flüssig+fest'!$BG30)</f>
        <v>0</v>
      </c>
      <c r="CN30" s="455">
        <f>INDEX(Tiere!AD$30:AD$87,'Berech. Lagerraum flüssig+fest'!$BG30)</f>
        <v>0</v>
      </c>
      <c r="CO30" s="196">
        <f t="shared" si="47"/>
        <v>0</v>
      </c>
      <c r="CP30" s="201">
        <f t="shared" si="48"/>
        <v>0</v>
      </c>
      <c r="CQ30" s="27"/>
      <c r="CR30" s="26">
        <f t="shared" si="49"/>
        <v>0</v>
      </c>
      <c r="CS30" s="26">
        <f t="shared" si="50"/>
        <v>0</v>
      </c>
      <c r="CT30" s="26">
        <f t="shared" si="51"/>
        <v>0</v>
      </c>
    </row>
    <row r="31" spans="1:100" ht="15.75" customHeight="1" x14ac:dyDescent="0.25">
      <c r="A31" s="950"/>
      <c r="B31" s="951"/>
      <c r="C31" s="951"/>
      <c r="D31" s="278"/>
      <c r="E31" s="291"/>
      <c r="F31" s="163"/>
      <c r="G31" s="278"/>
      <c r="H31" s="288"/>
      <c r="I31" s="289" t="str">
        <f t="shared" si="23"/>
        <v xml:space="preserve"> </v>
      </c>
      <c r="J31" s="289" t="str">
        <f t="shared" si="53"/>
        <v xml:space="preserve"> </v>
      </c>
      <c r="K31" s="27"/>
      <c r="L31" s="27"/>
      <c r="M31" s="417"/>
      <c r="N31" s="445" t="str">
        <f t="shared" si="0"/>
        <v xml:space="preserve"> </v>
      </c>
      <c r="O31" s="445"/>
      <c r="P31" s="445">
        <f t="shared" si="1"/>
        <v>0</v>
      </c>
      <c r="Q31" s="445">
        <f t="shared" si="2"/>
        <v>0</v>
      </c>
      <c r="R31" s="445">
        <f t="shared" si="3"/>
        <v>0</v>
      </c>
      <c r="S31" s="445">
        <f t="shared" si="4"/>
        <v>0</v>
      </c>
      <c r="T31" s="445" t="str">
        <f t="shared" si="5"/>
        <v xml:space="preserve"> </v>
      </c>
      <c r="U31" s="446">
        <f t="shared" si="6"/>
        <v>0</v>
      </c>
      <c r="V31" s="447">
        <f t="shared" si="7"/>
        <v>0</v>
      </c>
      <c r="W31" s="563">
        <f t="shared" si="24"/>
        <v>0</v>
      </c>
      <c r="X31" s="563">
        <f t="shared" si="25"/>
        <v>0</v>
      </c>
      <c r="Y31" s="563">
        <f t="shared" si="26"/>
        <v>0</v>
      </c>
      <c r="Z31" s="563">
        <f t="shared" si="27"/>
        <v>0</v>
      </c>
      <c r="AA31" s="448">
        <f t="shared" si="8"/>
        <v>0</v>
      </c>
      <c r="AB31" s="445">
        <f t="shared" si="9"/>
        <v>0</v>
      </c>
      <c r="AC31" s="445">
        <f t="shared" si="10"/>
        <v>0</v>
      </c>
      <c r="AD31" s="449">
        <f t="shared" si="11"/>
        <v>0</v>
      </c>
      <c r="AE31" s="450">
        <f>INDEX(Tiere!K$30:K$87,'Berech. Lagerraum flüssig+fest'!$BG31)</f>
        <v>0</v>
      </c>
      <c r="AF31" s="450">
        <f>INDEX(Tiere!S$30:S$87,'Berech. Lagerraum flüssig+fest'!BG31)</f>
        <v>0</v>
      </c>
      <c r="AG31" s="445">
        <f t="shared" si="28"/>
        <v>0</v>
      </c>
      <c r="AH31" s="445">
        <f t="shared" si="29"/>
        <v>0</v>
      </c>
      <c r="AI31" s="445">
        <f t="shared" si="30"/>
        <v>0</v>
      </c>
      <c r="AJ31" s="448">
        <f t="shared" si="12"/>
        <v>0</v>
      </c>
      <c r="AK31" s="445">
        <f t="shared" si="13"/>
        <v>0</v>
      </c>
      <c r="AL31" s="449">
        <f t="shared" si="14"/>
        <v>0</v>
      </c>
      <c r="AM31" s="450">
        <f>INDEX(Tiere!P$30:P$87,'Berech. Lagerraum flüssig+fest'!$BG31)</f>
        <v>0</v>
      </c>
      <c r="AN31" s="451">
        <f t="shared" si="31"/>
        <v>0</v>
      </c>
      <c r="AO31" s="451">
        <f t="shared" si="32"/>
        <v>0</v>
      </c>
      <c r="AP31" s="451">
        <f t="shared" si="33"/>
        <v>0</v>
      </c>
      <c r="AQ31" s="448">
        <f t="shared" si="34"/>
        <v>0</v>
      </c>
      <c r="AR31" s="445">
        <f t="shared" si="35"/>
        <v>0</v>
      </c>
      <c r="AS31" s="449">
        <f t="shared" si="36"/>
        <v>0</v>
      </c>
      <c r="AT31" s="445"/>
      <c r="AU31" s="560">
        <f t="shared" si="15"/>
        <v>0</v>
      </c>
      <c r="AV31" s="561">
        <f t="shared" si="16"/>
        <v>0</v>
      </c>
      <c r="AW31" s="561">
        <f t="shared" si="17"/>
        <v>0</v>
      </c>
      <c r="AX31" s="448">
        <f t="shared" si="18"/>
        <v>0</v>
      </c>
      <c r="AY31" s="445">
        <f t="shared" si="19"/>
        <v>0</v>
      </c>
      <c r="AZ31" s="449">
        <f t="shared" si="20"/>
        <v>0</v>
      </c>
      <c r="BA31" s="455">
        <f t="shared" si="37"/>
        <v>0</v>
      </c>
      <c r="BB31" s="454">
        <f t="shared" si="38"/>
        <v>0</v>
      </c>
      <c r="BC31" s="455">
        <f t="shared" si="52"/>
        <v>0</v>
      </c>
      <c r="BD31" s="455">
        <f t="shared" si="39"/>
        <v>0</v>
      </c>
      <c r="BE31" s="455">
        <f t="shared" si="40"/>
        <v>0</v>
      </c>
      <c r="BF31" s="456">
        <f t="shared" si="41"/>
        <v>1</v>
      </c>
      <c r="BG31" s="457">
        <v>1</v>
      </c>
      <c r="BH31" s="457">
        <v>1</v>
      </c>
      <c r="BI31" s="456">
        <f>INDEX(Tiere!C$30:C$87,'Berech. Lagerraum flüssig+fest'!$BG31)</f>
        <v>0</v>
      </c>
      <c r="BJ31" s="456" t="str">
        <f t="shared" si="42"/>
        <v>1</v>
      </c>
      <c r="BK31" s="456">
        <f t="shared" si="43"/>
        <v>0</v>
      </c>
      <c r="BL31" s="455">
        <f>INDEX(Tiere!D$30:D$87,'Berech. Lagerraum flüssig+fest'!$BG31)</f>
        <v>0</v>
      </c>
      <c r="BM31" s="451">
        <f>INDEX(Tiere!E$30:E$87,'Berech. Lagerraum flüssig+fest'!$BG31)</f>
        <v>0</v>
      </c>
      <c r="BN31" s="452">
        <f>INDEX(Tiere!F$30:F$87,'Berech. Lagerraum flüssig+fest'!$BG31)</f>
        <v>0</v>
      </c>
      <c r="BO31" s="451">
        <f>INDEX(Tiere!J$30:J$87,'Berech. Lagerraum flüssig+fest'!$BG31)</f>
        <v>0</v>
      </c>
      <c r="BP31" s="451">
        <f>INDEX(Tiere!R$30:R$87,'Berech. Lagerraum flüssig+fest'!$BG31)</f>
        <v>0</v>
      </c>
      <c r="BQ31" s="455">
        <f>INDEX(Tiere!M$30:M$87,'Berech. Lagerraum flüssig+fest'!$BG31)</f>
        <v>0</v>
      </c>
      <c r="BR31" s="451">
        <f>INDEX(Tiere!N$30:N$87,'Berech. Lagerraum flüssig+fest'!$BG31)</f>
        <v>0</v>
      </c>
      <c r="BS31" s="452">
        <f>INDEX(Tiere!O$30:O$87,'Berech. Lagerraum flüssig+fest'!$BG31)</f>
        <v>0</v>
      </c>
      <c r="BT31" s="455">
        <f>INDEX(Tiere!T$30:T$87,'Berech. Lagerraum flüssig+fest'!$BG31)</f>
        <v>0</v>
      </c>
      <c r="BU31" s="452">
        <f>INDEX(Tiere!U$30:U$87,'Berech. Lagerraum flüssig+fest'!$BG31)</f>
        <v>0</v>
      </c>
      <c r="BV31" s="458">
        <f>INDEX(Tiere!V$30:V$87,'Berech. Lagerraum flüssig+fest'!$BG31)</f>
        <v>0</v>
      </c>
      <c r="BW31" s="452">
        <f>INDEX(Tiere!W$30:W$87,'Berech. Lagerraum flüssig+fest'!$BG31)</f>
        <v>0</v>
      </c>
      <c r="BX31" s="452">
        <f>INDEX(Tiere!X$30:X$87,'Berech. Lagerraum flüssig+fest'!$BG31)</f>
        <v>0</v>
      </c>
      <c r="BY31" s="452">
        <f>INDEX(Tiere!Y$30:Y$87,'Berech. Lagerraum flüssig+fest'!$BG31)</f>
        <v>0</v>
      </c>
      <c r="BZ31" s="417">
        <v>5</v>
      </c>
      <c r="CA31" s="417">
        <v>3</v>
      </c>
      <c r="CB31" s="439">
        <v>17</v>
      </c>
      <c r="CC31" s="449">
        <f>INDEX(Tiere!Z$30:Z$87,'Berech. Lagerraum flüssig+fest'!$BG31)</f>
        <v>0</v>
      </c>
      <c r="CD31" s="449">
        <f>INDEX(Tiere!AA$30:AA$87,'Berech. Lagerraum flüssig+fest'!$BG31)</f>
        <v>0</v>
      </c>
      <c r="CE31" s="448">
        <f t="shared" si="21"/>
        <v>0</v>
      </c>
      <c r="CF31" s="449">
        <f t="shared" si="22"/>
        <v>0</v>
      </c>
      <c r="CG31" s="445">
        <f t="shared" si="44"/>
        <v>0</v>
      </c>
      <c r="CH31" s="449">
        <f t="shared" si="45"/>
        <v>0</v>
      </c>
      <c r="CI31" s="417"/>
      <c r="CJ31" s="445" t="b">
        <f t="shared" si="46"/>
        <v>0</v>
      </c>
      <c r="CK31" s="417"/>
      <c r="CL31" s="455">
        <f>INDEX(Tiere!AB$30:AB$87,'Berech. Lagerraum flüssig+fest'!$BG31)</f>
        <v>0</v>
      </c>
      <c r="CM31" s="455">
        <f>INDEX(Tiere!AC$30:AC$87,'Berech. Lagerraum flüssig+fest'!$BG31)</f>
        <v>0</v>
      </c>
      <c r="CN31" s="455">
        <f>INDEX(Tiere!AD$30:AD$87,'Berech. Lagerraum flüssig+fest'!$BG31)</f>
        <v>0</v>
      </c>
      <c r="CO31" s="196">
        <f t="shared" si="47"/>
        <v>0</v>
      </c>
      <c r="CP31" s="201">
        <f t="shared" si="48"/>
        <v>0</v>
      </c>
      <c r="CQ31" s="27"/>
      <c r="CR31" s="26">
        <f t="shared" si="49"/>
        <v>0</v>
      </c>
      <c r="CS31" s="26">
        <f t="shared" si="50"/>
        <v>0</v>
      </c>
      <c r="CT31" s="26">
        <f t="shared" si="51"/>
        <v>0</v>
      </c>
    </row>
    <row r="32" spans="1:100" ht="15.75" customHeight="1" x14ac:dyDescent="0.25">
      <c r="A32" s="950"/>
      <c r="B32" s="951"/>
      <c r="C32" s="951"/>
      <c r="D32" s="278"/>
      <c r="E32" s="291"/>
      <c r="F32" s="163"/>
      <c r="G32" s="278"/>
      <c r="H32" s="288"/>
      <c r="I32" s="289" t="str">
        <f t="shared" si="23"/>
        <v xml:space="preserve"> </v>
      </c>
      <c r="J32" s="289" t="str">
        <f t="shared" si="53"/>
        <v xml:space="preserve"> </v>
      </c>
      <c r="K32" s="27"/>
      <c r="L32" s="27"/>
      <c r="M32" s="417"/>
      <c r="N32" s="445" t="str">
        <f t="shared" si="0"/>
        <v xml:space="preserve"> </v>
      </c>
      <c r="O32" s="445"/>
      <c r="P32" s="445">
        <f t="shared" si="1"/>
        <v>0</v>
      </c>
      <c r="Q32" s="445">
        <f t="shared" si="2"/>
        <v>0</v>
      </c>
      <c r="R32" s="445">
        <f t="shared" si="3"/>
        <v>0</v>
      </c>
      <c r="S32" s="445">
        <f t="shared" si="4"/>
        <v>0</v>
      </c>
      <c r="T32" s="445" t="str">
        <f t="shared" si="5"/>
        <v xml:space="preserve"> </v>
      </c>
      <c r="U32" s="446">
        <f t="shared" si="6"/>
        <v>0</v>
      </c>
      <c r="V32" s="447">
        <f t="shared" si="7"/>
        <v>0</v>
      </c>
      <c r="W32" s="563">
        <f t="shared" si="24"/>
        <v>0</v>
      </c>
      <c r="X32" s="563">
        <f t="shared" si="25"/>
        <v>0</v>
      </c>
      <c r="Y32" s="563">
        <f t="shared" si="26"/>
        <v>0</v>
      </c>
      <c r="Z32" s="563">
        <f t="shared" si="27"/>
        <v>0</v>
      </c>
      <c r="AA32" s="448">
        <f t="shared" si="8"/>
        <v>0</v>
      </c>
      <c r="AB32" s="445">
        <f t="shared" si="9"/>
        <v>0</v>
      </c>
      <c r="AC32" s="445">
        <f t="shared" si="10"/>
        <v>0</v>
      </c>
      <c r="AD32" s="449">
        <f t="shared" si="11"/>
        <v>0</v>
      </c>
      <c r="AE32" s="450">
        <f>INDEX(Tiere!K$30:K$87,'Berech. Lagerraum flüssig+fest'!$BG32)</f>
        <v>0</v>
      </c>
      <c r="AF32" s="450">
        <f>INDEX(Tiere!S$30:S$87,'Berech. Lagerraum flüssig+fest'!BG32)</f>
        <v>0</v>
      </c>
      <c r="AG32" s="445">
        <f t="shared" si="28"/>
        <v>0</v>
      </c>
      <c r="AH32" s="445">
        <f t="shared" si="29"/>
        <v>0</v>
      </c>
      <c r="AI32" s="445">
        <f t="shared" si="30"/>
        <v>0</v>
      </c>
      <c r="AJ32" s="448">
        <f t="shared" si="12"/>
        <v>0</v>
      </c>
      <c r="AK32" s="445">
        <f t="shared" si="13"/>
        <v>0</v>
      </c>
      <c r="AL32" s="449">
        <f t="shared" si="14"/>
        <v>0</v>
      </c>
      <c r="AM32" s="450">
        <f>INDEX(Tiere!P$30:P$87,'Berech. Lagerraum flüssig+fest'!$BG32)</f>
        <v>0</v>
      </c>
      <c r="AN32" s="451">
        <f t="shared" si="31"/>
        <v>0</v>
      </c>
      <c r="AO32" s="451">
        <f t="shared" si="32"/>
        <v>0</v>
      </c>
      <c r="AP32" s="451">
        <f t="shared" si="33"/>
        <v>0</v>
      </c>
      <c r="AQ32" s="448">
        <f t="shared" si="34"/>
        <v>0</v>
      </c>
      <c r="AR32" s="445">
        <f t="shared" si="35"/>
        <v>0</v>
      </c>
      <c r="AS32" s="449">
        <f t="shared" si="36"/>
        <v>0</v>
      </c>
      <c r="AT32" s="445"/>
      <c r="AU32" s="560">
        <f t="shared" si="15"/>
        <v>0</v>
      </c>
      <c r="AV32" s="561">
        <f t="shared" si="16"/>
        <v>0</v>
      </c>
      <c r="AW32" s="561">
        <f t="shared" si="17"/>
        <v>0</v>
      </c>
      <c r="AX32" s="448">
        <f t="shared" si="18"/>
        <v>0</v>
      </c>
      <c r="AY32" s="445">
        <f t="shared" si="19"/>
        <v>0</v>
      </c>
      <c r="AZ32" s="449">
        <f t="shared" si="20"/>
        <v>0</v>
      </c>
      <c r="BA32" s="455">
        <f t="shared" si="37"/>
        <v>0</v>
      </c>
      <c r="BB32" s="452">
        <f t="shared" si="38"/>
        <v>0</v>
      </c>
      <c r="BC32" s="455">
        <f t="shared" si="52"/>
        <v>0</v>
      </c>
      <c r="BD32" s="455">
        <f t="shared" si="39"/>
        <v>0</v>
      </c>
      <c r="BE32" s="455">
        <f t="shared" si="40"/>
        <v>0</v>
      </c>
      <c r="BF32" s="456">
        <f t="shared" si="41"/>
        <v>1</v>
      </c>
      <c r="BG32" s="457">
        <v>1</v>
      </c>
      <c r="BH32" s="457">
        <v>1</v>
      </c>
      <c r="BI32" s="456">
        <f>INDEX(Tiere!C$30:C$87,'Berech. Lagerraum flüssig+fest'!$BG32)</f>
        <v>0</v>
      </c>
      <c r="BJ32" s="456" t="str">
        <f t="shared" si="42"/>
        <v>1</v>
      </c>
      <c r="BK32" s="456">
        <f t="shared" si="43"/>
        <v>0</v>
      </c>
      <c r="BL32" s="455">
        <f>INDEX(Tiere!D$30:D$87,'Berech. Lagerraum flüssig+fest'!$BG32)</f>
        <v>0</v>
      </c>
      <c r="BM32" s="451">
        <f>INDEX(Tiere!E$30:E$87,'Berech. Lagerraum flüssig+fest'!$BG32)</f>
        <v>0</v>
      </c>
      <c r="BN32" s="452">
        <f>INDEX(Tiere!F$30:F$87,'Berech. Lagerraum flüssig+fest'!$BG32)</f>
        <v>0</v>
      </c>
      <c r="BO32" s="451">
        <f>INDEX(Tiere!J$30:J$87,'Berech. Lagerraum flüssig+fest'!$BG32)</f>
        <v>0</v>
      </c>
      <c r="BP32" s="451">
        <f>INDEX(Tiere!R$30:R$87,'Berech. Lagerraum flüssig+fest'!$BG32)</f>
        <v>0</v>
      </c>
      <c r="BQ32" s="455">
        <f>INDEX(Tiere!M$30:M$87,'Berech. Lagerraum flüssig+fest'!$BG32)</f>
        <v>0</v>
      </c>
      <c r="BR32" s="451">
        <f>INDEX(Tiere!N$30:N$87,'Berech. Lagerraum flüssig+fest'!$BG32)</f>
        <v>0</v>
      </c>
      <c r="BS32" s="452">
        <f>INDEX(Tiere!O$30:O$87,'Berech. Lagerraum flüssig+fest'!$BG32)</f>
        <v>0</v>
      </c>
      <c r="BT32" s="455">
        <f>INDEX(Tiere!T$30:T$87,'Berech. Lagerraum flüssig+fest'!$BG32)</f>
        <v>0</v>
      </c>
      <c r="BU32" s="452">
        <f>INDEX(Tiere!U$30:U$87,'Berech. Lagerraum flüssig+fest'!$BG32)</f>
        <v>0</v>
      </c>
      <c r="BV32" s="458">
        <f>INDEX(Tiere!V$30:V$87,'Berech. Lagerraum flüssig+fest'!$BG32)</f>
        <v>0</v>
      </c>
      <c r="BW32" s="452">
        <f>INDEX(Tiere!W$30:W$87,'Berech. Lagerraum flüssig+fest'!$BG32)</f>
        <v>0</v>
      </c>
      <c r="BX32" s="452">
        <f>INDEX(Tiere!X$30:X$87,'Berech. Lagerraum flüssig+fest'!$BG32)</f>
        <v>0</v>
      </c>
      <c r="BY32" s="452">
        <f>INDEX(Tiere!Y$30:Y$87,'Berech. Lagerraum flüssig+fest'!$BG32)</f>
        <v>0</v>
      </c>
      <c r="BZ32" s="417">
        <v>5</v>
      </c>
      <c r="CA32" s="417">
        <v>3</v>
      </c>
      <c r="CB32" s="439">
        <v>17</v>
      </c>
      <c r="CC32" s="449">
        <f>INDEX(Tiere!Z$30:Z$87,'Berech. Lagerraum flüssig+fest'!$BG32)</f>
        <v>0</v>
      </c>
      <c r="CD32" s="449">
        <f>INDEX(Tiere!AA$30:AA$87,'Berech. Lagerraum flüssig+fest'!$BG32)</f>
        <v>0</v>
      </c>
      <c r="CE32" s="448">
        <f t="shared" si="21"/>
        <v>0</v>
      </c>
      <c r="CF32" s="449">
        <f t="shared" si="22"/>
        <v>0</v>
      </c>
      <c r="CG32" s="445">
        <f t="shared" si="44"/>
        <v>0</v>
      </c>
      <c r="CH32" s="449">
        <f t="shared" si="45"/>
        <v>0</v>
      </c>
      <c r="CI32" s="417"/>
      <c r="CJ32" s="445" t="b">
        <f t="shared" si="46"/>
        <v>0</v>
      </c>
      <c r="CK32" s="417"/>
      <c r="CL32" s="455">
        <f>INDEX(Tiere!AB$30:AB$87,'Berech. Lagerraum flüssig+fest'!$BG32)</f>
        <v>0</v>
      </c>
      <c r="CM32" s="455">
        <f>INDEX(Tiere!AC$30:AC$87,'Berech. Lagerraum flüssig+fest'!$BG32)</f>
        <v>0</v>
      </c>
      <c r="CN32" s="455">
        <f>INDEX(Tiere!AD$30:AD$87,'Berech. Lagerraum flüssig+fest'!$BG32)</f>
        <v>0</v>
      </c>
      <c r="CO32" s="196">
        <f t="shared" si="47"/>
        <v>0</v>
      </c>
      <c r="CP32" s="201">
        <f t="shared" si="48"/>
        <v>0</v>
      </c>
      <c r="CQ32" s="27"/>
      <c r="CR32" s="26">
        <f t="shared" si="49"/>
        <v>0</v>
      </c>
      <c r="CS32" s="26">
        <f t="shared" si="50"/>
        <v>0</v>
      </c>
      <c r="CT32" s="26">
        <f t="shared" si="51"/>
        <v>0</v>
      </c>
    </row>
    <row r="33" spans="1:100" ht="15.75" customHeight="1" x14ac:dyDescent="0.25">
      <c r="A33" s="950"/>
      <c r="B33" s="951"/>
      <c r="C33" s="951"/>
      <c r="D33" s="278"/>
      <c r="E33" s="291"/>
      <c r="F33" s="163"/>
      <c r="G33" s="278"/>
      <c r="H33" s="288"/>
      <c r="I33" s="289" t="str">
        <f t="shared" si="23"/>
        <v xml:space="preserve"> </v>
      </c>
      <c r="J33" s="289" t="str">
        <f t="shared" si="53"/>
        <v xml:space="preserve"> </v>
      </c>
      <c r="K33" s="27"/>
      <c r="L33" s="27"/>
      <c r="M33" s="417"/>
      <c r="N33" s="445" t="str">
        <f t="shared" si="0"/>
        <v xml:space="preserve"> </v>
      </c>
      <c r="O33" s="445"/>
      <c r="P33" s="445">
        <f t="shared" si="1"/>
        <v>0</v>
      </c>
      <c r="Q33" s="445">
        <f t="shared" si="2"/>
        <v>0</v>
      </c>
      <c r="R33" s="445">
        <f t="shared" si="3"/>
        <v>0</v>
      </c>
      <c r="S33" s="445">
        <f t="shared" si="4"/>
        <v>0</v>
      </c>
      <c r="T33" s="445" t="str">
        <f t="shared" si="5"/>
        <v xml:space="preserve"> </v>
      </c>
      <c r="U33" s="446">
        <f t="shared" si="6"/>
        <v>0</v>
      </c>
      <c r="V33" s="447">
        <f t="shared" si="7"/>
        <v>0</v>
      </c>
      <c r="W33" s="563">
        <f t="shared" si="24"/>
        <v>0</v>
      </c>
      <c r="X33" s="563">
        <f t="shared" si="25"/>
        <v>0</v>
      </c>
      <c r="Y33" s="563">
        <f t="shared" si="26"/>
        <v>0</v>
      </c>
      <c r="Z33" s="563">
        <f t="shared" si="27"/>
        <v>0</v>
      </c>
      <c r="AA33" s="448">
        <f t="shared" si="8"/>
        <v>0</v>
      </c>
      <c r="AB33" s="445">
        <f t="shared" si="9"/>
        <v>0</v>
      </c>
      <c r="AC33" s="445">
        <f t="shared" si="10"/>
        <v>0</v>
      </c>
      <c r="AD33" s="449">
        <f t="shared" si="11"/>
        <v>0</v>
      </c>
      <c r="AE33" s="450">
        <f>INDEX(Tiere!K$30:K$87,'Berech. Lagerraum flüssig+fest'!$BG33)</f>
        <v>0</v>
      </c>
      <c r="AF33" s="450">
        <f>INDEX(Tiere!S$30:S$87,'Berech. Lagerraum flüssig+fest'!BG33)</f>
        <v>0</v>
      </c>
      <c r="AG33" s="445">
        <f t="shared" si="28"/>
        <v>0</v>
      </c>
      <c r="AH33" s="445">
        <f t="shared" si="29"/>
        <v>0</v>
      </c>
      <c r="AI33" s="445">
        <f t="shared" si="30"/>
        <v>0</v>
      </c>
      <c r="AJ33" s="448">
        <f t="shared" si="12"/>
        <v>0</v>
      </c>
      <c r="AK33" s="445">
        <f t="shared" si="13"/>
        <v>0</v>
      </c>
      <c r="AL33" s="449">
        <f t="shared" si="14"/>
        <v>0</v>
      </c>
      <c r="AM33" s="450">
        <f>INDEX(Tiere!P$30:P$87,'Berech. Lagerraum flüssig+fest'!$BG33)</f>
        <v>0</v>
      </c>
      <c r="AN33" s="451">
        <f t="shared" si="31"/>
        <v>0</v>
      </c>
      <c r="AO33" s="451">
        <f t="shared" si="32"/>
        <v>0</v>
      </c>
      <c r="AP33" s="451">
        <f t="shared" si="33"/>
        <v>0</v>
      </c>
      <c r="AQ33" s="448">
        <f t="shared" si="34"/>
        <v>0</v>
      </c>
      <c r="AR33" s="445">
        <f t="shared" si="35"/>
        <v>0</v>
      </c>
      <c r="AS33" s="449">
        <f t="shared" si="36"/>
        <v>0</v>
      </c>
      <c r="AT33" s="445"/>
      <c r="AU33" s="560">
        <f t="shared" si="15"/>
        <v>0</v>
      </c>
      <c r="AV33" s="561">
        <f t="shared" si="16"/>
        <v>0</v>
      </c>
      <c r="AW33" s="561">
        <f t="shared" si="17"/>
        <v>0</v>
      </c>
      <c r="AX33" s="448">
        <f t="shared" si="18"/>
        <v>0</v>
      </c>
      <c r="AY33" s="445">
        <f t="shared" si="19"/>
        <v>0</v>
      </c>
      <c r="AZ33" s="449">
        <f t="shared" si="20"/>
        <v>0</v>
      </c>
      <c r="BA33" s="455">
        <f t="shared" si="37"/>
        <v>0</v>
      </c>
      <c r="BB33" s="452">
        <f t="shared" si="38"/>
        <v>0</v>
      </c>
      <c r="BC33" s="455">
        <f t="shared" si="52"/>
        <v>0</v>
      </c>
      <c r="BD33" s="455">
        <f t="shared" si="39"/>
        <v>0</v>
      </c>
      <c r="BE33" s="455">
        <f t="shared" si="40"/>
        <v>0</v>
      </c>
      <c r="BF33" s="456">
        <f t="shared" si="41"/>
        <v>1</v>
      </c>
      <c r="BG33" s="457">
        <v>1</v>
      </c>
      <c r="BH33" s="457">
        <v>1</v>
      </c>
      <c r="BI33" s="456">
        <f>INDEX(Tiere!C$30:C$87,'Berech. Lagerraum flüssig+fest'!$BG33)</f>
        <v>0</v>
      </c>
      <c r="BJ33" s="456" t="str">
        <f t="shared" si="42"/>
        <v>1</v>
      </c>
      <c r="BK33" s="456">
        <f t="shared" si="43"/>
        <v>0</v>
      </c>
      <c r="BL33" s="455">
        <f>INDEX(Tiere!D$30:D$87,'Berech. Lagerraum flüssig+fest'!$BG33)</f>
        <v>0</v>
      </c>
      <c r="BM33" s="451">
        <f>INDEX(Tiere!E$30:E$87,'Berech. Lagerraum flüssig+fest'!$BG33)</f>
        <v>0</v>
      </c>
      <c r="BN33" s="452">
        <f>INDEX(Tiere!F$30:F$87,'Berech. Lagerraum flüssig+fest'!$BG33)</f>
        <v>0</v>
      </c>
      <c r="BO33" s="451">
        <f>INDEX(Tiere!J$30:J$87,'Berech. Lagerraum flüssig+fest'!$BG33)</f>
        <v>0</v>
      </c>
      <c r="BP33" s="451">
        <f>INDEX(Tiere!R$30:R$87,'Berech. Lagerraum flüssig+fest'!$BG33)</f>
        <v>0</v>
      </c>
      <c r="BQ33" s="455">
        <f>INDEX(Tiere!M$30:M$87,'Berech. Lagerraum flüssig+fest'!$BG33)</f>
        <v>0</v>
      </c>
      <c r="BR33" s="451">
        <f>INDEX(Tiere!N$30:N$87,'Berech. Lagerraum flüssig+fest'!$BG33)</f>
        <v>0</v>
      </c>
      <c r="BS33" s="452">
        <f>INDEX(Tiere!O$30:O$87,'Berech. Lagerraum flüssig+fest'!$BG33)</f>
        <v>0</v>
      </c>
      <c r="BT33" s="455">
        <f>INDEX(Tiere!T$30:T$87,'Berech. Lagerraum flüssig+fest'!$BG33)</f>
        <v>0</v>
      </c>
      <c r="BU33" s="452">
        <f>INDEX(Tiere!U$30:U$87,'Berech. Lagerraum flüssig+fest'!$BG33)</f>
        <v>0</v>
      </c>
      <c r="BV33" s="458">
        <f>INDEX(Tiere!V$30:V$87,'Berech. Lagerraum flüssig+fest'!$BG33)</f>
        <v>0</v>
      </c>
      <c r="BW33" s="452">
        <f>INDEX(Tiere!W$30:W$87,'Berech. Lagerraum flüssig+fest'!$BG33)</f>
        <v>0</v>
      </c>
      <c r="BX33" s="452">
        <f>INDEX(Tiere!X$30:X$87,'Berech. Lagerraum flüssig+fest'!$BG33)</f>
        <v>0</v>
      </c>
      <c r="BY33" s="452">
        <f>INDEX(Tiere!Y$30:Y$87,'Berech. Lagerraum flüssig+fest'!$BG33)</f>
        <v>0</v>
      </c>
      <c r="BZ33" s="417">
        <v>5</v>
      </c>
      <c r="CA33" s="417">
        <v>3</v>
      </c>
      <c r="CB33" s="439">
        <v>17</v>
      </c>
      <c r="CC33" s="449">
        <f>INDEX(Tiere!Z$30:Z$87,'Berech. Lagerraum flüssig+fest'!$BG33)</f>
        <v>0</v>
      </c>
      <c r="CD33" s="449">
        <f>INDEX(Tiere!AA$30:AA$87,'Berech. Lagerraum flüssig+fest'!$BG33)</f>
        <v>0</v>
      </c>
      <c r="CE33" s="448">
        <f t="shared" si="21"/>
        <v>0</v>
      </c>
      <c r="CF33" s="449">
        <f t="shared" si="22"/>
        <v>0</v>
      </c>
      <c r="CG33" s="445">
        <f t="shared" si="44"/>
        <v>0</v>
      </c>
      <c r="CH33" s="449">
        <f t="shared" si="45"/>
        <v>0</v>
      </c>
      <c r="CI33" s="417"/>
      <c r="CJ33" s="445" t="b">
        <f t="shared" si="46"/>
        <v>0</v>
      </c>
      <c r="CK33" s="417"/>
      <c r="CL33" s="455">
        <f>INDEX(Tiere!AB$30:AB$87,'Berech. Lagerraum flüssig+fest'!$BG33)</f>
        <v>0</v>
      </c>
      <c r="CM33" s="455">
        <f>INDEX(Tiere!AC$30:AC$87,'Berech. Lagerraum flüssig+fest'!$BG33)</f>
        <v>0</v>
      </c>
      <c r="CN33" s="455">
        <f>INDEX(Tiere!AD$30:AD$87,'Berech. Lagerraum flüssig+fest'!$BG33)</f>
        <v>0</v>
      </c>
      <c r="CO33" s="196">
        <f t="shared" si="47"/>
        <v>0</v>
      </c>
      <c r="CP33" s="201">
        <f t="shared" si="48"/>
        <v>0</v>
      </c>
      <c r="CQ33" s="27"/>
      <c r="CR33" s="26">
        <f t="shared" si="49"/>
        <v>0</v>
      </c>
      <c r="CS33" s="26">
        <f t="shared" si="50"/>
        <v>0</v>
      </c>
      <c r="CT33" s="26">
        <f t="shared" si="51"/>
        <v>0</v>
      </c>
    </row>
    <row r="34" spans="1:100" ht="15.75" customHeight="1" x14ac:dyDescent="0.25">
      <c r="A34" s="950"/>
      <c r="B34" s="951"/>
      <c r="C34" s="951"/>
      <c r="D34" s="278"/>
      <c r="E34" s="291"/>
      <c r="F34" s="163"/>
      <c r="G34" s="278"/>
      <c r="H34" s="288"/>
      <c r="I34" s="289" t="str">
        <f t="shared" si="23"/>
        <v xml:space="preserve"> </v>
      </c>
      <c r="J34" s="289" t="str">
        <f t="shared" si="53"/>
        <v xml:space="preserve"> </v>
      </c>
      <c r="K34" s="27"/>
      <c r="L34" s="27"/>
      <c r="M34" s="417"/>
      <c r="N34" s="445" t="str">
        <f t="shared" si="0"/>
        <v xml:space="preserve"> </v>
      </c>
      <c r="O34" s="445"/>
      <c r="P34" s="445">
        <f t="shared" si="1"/>
        <v>0</v>
      </c>
      <c r="Q34" s="445">
        <f t="shared" si="2"/>
        <v>0</v>
      </c>
      <c r="R34" s="445">
        <f t="shared" si="3"/>
        <v>0</v>
      </c>
      <c r="S34" s="445">
        <f t="shared" si="4"/>
        <v>0</v>
      </c>
      <c r="T34" s="445" t="str">
        <f t="shared" si="5"/>
        <v xml:space="preserve"> </v>
      </c>
      <c r="U34" s="446">
        <f t="shared" si="6"/>
        <v>0</v>
      </c>
      <c r="V34" s="447">
        <f t="shared" si="7"/>
        <v>0</v>
      </c>
      <c r="W34" s="563">
        <f t="shared" si="24"/>
        <v>0</v>
      </c>
      <c r="X34" s="563">
        <f t="shared" si="25"/>
        <v>0</v>
      </c>
      <c r="Y34" s="563">
        <f t="shared" si="26"/>
        <v>0</v>
      </c>
      <c r="Z34" s="563">
        <f t="shared" si="27"/>
        <v>0</v>
      </c>
      <c r="AA34" s="448">
        <f t="shared" si="8"/>
        <v>0</v>
      </c>
      <c r="AB34" s="445">
        <f t="shared" si="9"/>
        <v>0</v>
      </c>
      <c r="AC34" s="445">
        <f t="shared" si="10"/>
        <v>0</v>
      </c>
      <c r="AD34" s="449">
        <f t="shared" si="11"/>
        <v>0</v>
      </c>
      <c r="AE34" s="450">
        <f>INDEX(Tiere!K$30:K$87,'Berech. Lagerraum flüssig+fest'!$BG34)</f>
        <v>0</v>
      </c>
      <c r="AF34" s="450">
        <f>INDEX(Tiere!S$30:S$87,'Berech. Lagerraum flüssig+fest'!BG34)</f>
        <v>0</v>
      </c>
      <c r="AG34" s="445">
        <f t="shared" si="28"/>
        <v>0</v>
      </c>
      <c r="AH34" s="445">
        <f t="shared" si="29"/>
        <v>0</v>
      </c>
      <c r="AI34" s="445">
        <f t="shared" si="30"/>
        <v>0</v>
      </c>
      <c r="AJ34" s="448">
        <f t="shared" si="12"/>
        <v>0</v>
      </c>
      <c r="AK34" s="445">
        <f t="shared" si="13"/>
        <v>0</v>
      </c>
      <c r="AL34" s="449">
        <f t="shared" si="14"/>
        <v>0</v>
      </c>
      <c r="AM34" s="450">
        <f>INDEX(Tiere!P$30:P$87,'Berech. Lagerraum flüssig+fest'!$BG34)</f>
        <v>0</v>
      </c>
      <c r="AN34" s="451">
        <f t="shared" si="31"/>
        <v>0</v>
      </c>
      <c r="AO34" s="451">
        <f t="shared" si="32"/>
        <v>0</v>
      </c>
      <c r="AP34" s="451">
        <f t="shared" si="33"/>
        <v>0</v>
      </c>
      <c r="AQ34" s="448">
        <f t="shared" si="34"/>
        <v>0</v>
      </c>
      <c r="AR34" s="445">
        <f t="shared" si="35"/>
        <v>0</v>
      </c>
      <c r="AS34" s="449">
        <f t="shared" si="36"/>
        <v>0</v>
      </c>
      <c r="AT34" s="445"/>
      <c r="AU34" s="560">
        <f t="shared" si="15"/>
        <v>0</v>
      </c>
      <c r="AV34" s="561">
        <f t="shared" si="16"/>
        <v>0</v>
      </c>
      <c r="AW34" s="561">
        <f t="shared" si="17"/>
        <v>0</v>
      </c>
      <c r="AX34" s="448">
        <f t="shared" si="18"/>
        <v>0</v>
      </c>
      <c r="AY34" s="445">
        <f t="shared" si="19"/>
        <v>0</v>
      </c>
      <c r="AZ34" s="449">
        <f t="shared" si="20"/>
        <v>0</v>
      </c>
      <c r="BA34" s="455">
        <f t="shared" si="37"/>
        <v>0</v>
      </c>
      <c r="BB34" s="452">
        <f t="shared" si="38"/>
        <v>0</v>
      </c>
      <c r="BC34" s="455">
        <f t="shared" si="52"/>
        <v>0</v>
      </c>
      <c r="BD34" s="455">
        <f t="shared" si="39"/>
        <v>0</v>
      </c>
      <c r="BE34" s="455">
        <f t="shared" si="40"/>
        <v>0</v>
      </c>
      <c r="BF34" s="456">
        <f t="shared" si="41"/>
        <v>1</v>
      </c>
      <c r="BG34" s="457">
        <v>1</v>
      </c>
      <c r="BH34" s="457">
        <v>1</v>
      </c>
      <c r="BI34" s="456">
        <f>INDEX(Tiere!C$30:C$87,'Berech. Lagerraum flüssig+fest'!$BG34)</f>
        <v>0</v>
      </c>
      <c r="BJ34" s="456" t="str">
        <f t="shared" si="42"/>
        <v>1</v>
      </c>
      <c r="BK34" s="456">
        <f t="shared" si="43"/>
        <v>0</v>
      </c>
      <c r="BL34" s="455">
        <f>INDEX(Tiere!D$30:D$87,'Berech. Lagerraum flüssig+fest'!$BG34)</f>
        <v>0</v>
      </c>
      <c r="BM34" s="451">
        <f>INDEX(Tiere!E$30:E$87,'Berech. Lagerraum flüssig+fest'!$BG34)</f>
        <v>0</v>
      </c>
      <c r="BN34" s="452">
        <f>INDEX(Tiere!F$30:F$87,'Berech. Lagerraum flüssig+fest'!$BG34)</f>
        <v>0</v>
      </c>
      <c r="BO34" s="451">
        <f>INDEX(Tiere!J$30:J$87,'Berech. Lagerraum flüssig+fest'!$BG34)</f>
        <v>0</v>
      </c>
      <c r="BP34" s="451">
        <f>INDEX(Tiere!R$30:R$87,'Berech. Lagerraum flüssig+fest'!$BG34)</f>
        <v>0</v>
      </c>
      <c r="BQ34" s="455">
        <f>INDEX(Tiere!M$30:M$87,'Berech. Lagerraum flüssig+fest'!$BG34)</f>
        <v>0</v>
      </c>
      <c r="BR34" s="451">
        <f>INDEX(Tiere!N$30:N$87,'Berech. Lagerraum flüssig+fest'!$BG34)</f>
        <v>0</v>
      </c>
      <c r="BS34" s="452">
        <f>INDEX(Tiere!O$30:O$87,'Berech. Lagerraum flüssig+fest'!$BG34)</f>
        <v>0</v>
      </c>
      <c r="BT34" s="455">
        <f>INDEX(Tiere!T$30:T$87,'Berech. Lagerraum flüssig+fest'!$BG34)</f>
        <v>0</v>
      </c>
      <c r="BU34" s="452">
        <f>INDEX(Tiere!U$30:U$87,'Berech. Lagerraum flüssig+fest'!$BG34)</f>
        <v>0</v>
      </c>
      <c r="BV34" s="458">
        <f>INDEX(Tiere!V$30:V$87,'Berech. Lagerraum flüssig+fest'!$BG34)</f>
        <v>0</v>
      </c>
      <c r="BW34" s="452">
        <f>INDEX(Tiere!W$30:W$87,'Berech. Lagerraum flüssig+fest'!$BG34)</f>
        <v>0</v>
      </c>
      <c r="BX34" s="452">
        <f>INDEX(Tiere!X$30:X$87,'Berech. Lagerraum flüssig+fest'!$BG34)</f>
        <v>0</v>
      </c>
      <c r="BY34" s="452">
        <f>INDEX(Tiere!Y$30:Y$87,'Berech. Lagerraum flüssig+fest'!$BG34)</f>
        <v>0</v>
      </c>
      <c r="BZ34" s="417">
        <v>5</v>
      </c>
      <c r="CA34" s="417">
        <v>3</v>
      </c>
      <c r="CB34" s="439">
        <v>17</v>
      </c>
      <c r="CC34" s="449">
        <f>INDEX(Tiere!Z$30:Z$87,'Berech. Lagerraum flüssig+fest'!$BG34)</f>
        <v>0</v>
      </c>
      <c r="CD34" s="449">
        <f>INDEX(Tiere!AA$30:AA$87,'Berech. Lagerraum flüssig+fest'!$BG34)</f>
        <v>0</v>
      </c>
      <c r="CE34" s="448">
        <f t="shared" si="21"/>
        <v>0</v>
      </c>
      <c r="CF34" s="449">
        <f t="shared" si="22"/>
        <v>0</v>
      </c>
      <c r="CG34" s="445">
        <f t="shared" si="44"/>
        <v>0</v>
      </c>
      <c r="CH34" s="449">
        <f t="shared" si="45"/>
        <v>0</v>
      </c>
      <c r="CI34" s="417"/>
      <c r="CJ34" s="445" t="b">
        <f t="shared" si="46"/>
        <v>0</v>
      </c>
      <c r="CK34" s="417"/>
      <c r="CL34" s="455">
        <f>INDEX(Tiere!AB$30:AB$87,'Berech. Lagerraum flüssig+fest'!$BG34)</f>
        <v>0</v>
      </c>
      <c r="CM34" s="455">
        <f>INDEX(Tiere!AC$30:AC$87,'Berech. Lagerraum flüssig+fest'!$BG34)</f>
        <v>0</v>
      </c>
      <c r="CN34" s="455">
        <f>INDEX(Tiere!AD$30:AD$87,'Berech. Lagerraum flüssig+fest'!$BG34)</f>
        <v>0</v>
      </c>
      <c r="CO34" s="196">
        <f t="shared" si="47"/>
        <v>0</v>
      </c>
      <c r="CP34" s="201">
        <f t="shared" si="48"/>
        <v>0</v>
      </c>
      <c r="CQ34" s="27"/>
      <c r="CR34" s="26">
        <f t="shared" si="49"/>
        <v>0</v>
      </c>
      <c r="CS34" s="26">
        <f t="shared" si="50"/>
        <v>0</v>
      </c>
      <c r="CT34" s="26">
        <f t="shared" si="51"/>
        <v>0</v>
      </c>
    </row>
    <row r="35" spans="1:100" ht="15.75" customHeight="1" x14ac:dyDescent="0.25">
      <c r="A35" s="950"/>
      <c r="B35" s="951"/>
      <c r="C35" s="951"/>
      <c r="D35" s="278"/>
      <c r="E35" s="291"/>
      <c r="F35" s="163"/>
      <c r="G35" s="278"/>
      <c r="H35" s="288"/>
      <c r="I35" s="289" t="str">
        <f t="shared" si="23"/>
        <v xml:space="preserve"> </v>
      </c>
      <c r="J35" s="289" t="str">
        <f t="shared" si="53"/>
        <v xml:space="preserve"> </v>
      </c>
      <c r="K35" s="27"/>
      <c r="L35" s="27"/>
      <c r="M35" s="417"/>
      <c r="N35" s="445" t="str">
        <f t="shared" si="0"/>
        <v xml:space="preserve"> </v>
      </c>
      <c r="O35" s="445"/>
      <c r="P35" s="445">
        <f t="shared" si="1"/>
        <v>0</v>
      </c>
      <c r="Q35" s="445">
        <f t="shared" si="2"/>
        <v>0</v>
      </c>
      <c r="R35" s="445">
        <f t="shared" si="3"/>
        <v>0</v>
      </c>
      <c r="S35" s="445">
        <f t="shared" si="4"/>
        <v>0</v>
      </c>
      <c r="T35" s="445" t="str">
        <f t="shared" si="5"/>
        <v xml:space="preserve"> </v>
      </c>
      <c r="U35" s="446">
        <f t="shared" si="6"/>
        <v>0</v>
      </c>
      <c r="V35" s="447">
        <f t="shared" si="7"/>
        <v>0</v>
      </c>
      <c r="W35" s="563">
        <f t="shared" si="24"/>
        <v>0</v>
      </c>
      <c r="X35" s="563">
        <f t="shared" si="25"/>
        <v>0</v>
      </c>
      <c r="Y35" s="563">
        <f t="shared" si="26"/>
        <v>0</v>
      </c>
      <c r="Z35" s="563">
        <f t="shared" si="27"/>
        <v>0</v>
      </c>
      <c r="AA35" s="448">
        <f t="shared" si="8"/>
        <v>0</v>
      </c>
      <c r="AB35" s="445">
        <f t="shared" si="9"/>
        <v>0</v>
      </c>
      <c r="AC35" s="445">
        <f t="shared" si="10"/>
        <v>0</v>
      </c>
      <c r="AD35" s="449">
        <f t="shared" si="11"/>
        <v>0</v>
      </c>
      <c r="AE35" s="450">
        <f>INDEX(Tiere!K$30:K$87,'Berech. Lagerraum flüssig+fest'!$BG35)</f>
        <v>0</v>
      </c>
      <c r="AF35" s="450">
        <f>INDEX(Tiere!S$30:S$87,'Berech. Lagerraum flüssig+fest'!BG35)</f>
        <v>0</v>
      </c>
      <c r="AG35" s="445">
        <f t="shared" si="28"/>
        <v>0</v>
      </c>
      <c r="AH35" s="445">
        <f t="shared" si="29"/>
        <v>0</v>
      </c>
      <c r="AI35" s="445">
        <f t="shared" si="30"/>
        <v>0</v>
      </c>
      <c r="AJ35" s="448">
        <f t="shared" si="12"/>
        <v>0</v>
      </c>
      <c r="AK35" s="445">
        <f t="shared" si="13"/>
        <v>0</v>
      </c>
      <c r="AL35" s="449">
        <f t="shared" si="14"/>
        <v>0</v>
      </c>
      <c r="AM35" s="450">
        <f>INDEX(Tiere!P$30:P$87,'Berech. Lagerraum flüssig+fest'!$BG35)</f>
        <v>0</v>
      </c>
      <c r="AN35" s="451">
        <f t="shared" si="31"/>
        <v>0</v>
      </c>
      <c r="AO35" s="451">
        <f t="shared" si="32"/>
        <v>0</v>
      </c>
      <c r="AP35" s="451">
        <f t="shared" si="33"/>
        <v>0</v>
      </c>
      <c r="AQ35" s="448">
        <f t="shared" si="34"/>
        <v>0</v>
      </c>
      <c r="AR35" s="445">
        <f t="shared" si="35"/>
        <v>0</v>
      </c>
      <c r="AS35" s="449">
        <f t="shared" si="36"/>
        <v>0</v>
      </c>
      <c r="AT35" s="445"/>
      <c r="AU35" s="560">
        <f t="shared" si="15"/>
        <v>0</v>
      </c>
      <c r="AV35" s="561">
        <f t="shared" si="16"/>
        <v>0</v>
      </c>
      <c r="AW35" s="561">
        <f t="shared" si="17"/>
        <v>0</v>
      </c>
      <c r="AX35" s="448">
        <f t="shared" si="18"/>
        <v>0</v>
      </c>
      <c r="AY35" s="445">
        <f t="shared" si="19"/>
        <v>0</v>
      </c>
      <c r="AZ35" s="449">
        <f t="shared" si="20"/>
        <v>0</v>
      </c>
      <c r="BA35" s="455">
        <f t="shared" si="37"/>
        <v>0</v>
      </c>
      <c r="BB35" s="452">
        <f t="shared" si="38"/>
        <v>0</v>
      </c>
      <c r="BC35" s="455">
        <f t="shared" si="52"/>
        <v>0</v>
      </c>
      <c r="BD35" s="455">
        <f>IF(BF35=2,0,IF(BF35=3,0,0))</f>
        <v>0</v>
      </c>
      <c r="BE35" s="455">
        <f t="shared" si="40"/>
        <v>0</v>
      </c>
      <c r="BF35" s="456">
        <f t="shared" si="41"/>
        <v>1</v>
      </c>
      <c r="BG35" s="457">
        <v>1</v>
      </c>
      <c r="BH35" s="457">
        <v>1</v>
      </c>
      <c r="BI35" s="456">
        <f>INDEX(Tiere!C$30:C$87,'Berech. Lagerraum flüssig+fest'!$BG35)</f>
        <v>0</v>
      </c>
      <c r="BJ35" s="456" t="str">
        <f t="shared" si="42"/>
        <v>1</v>
      </c>
      <c r="BK35" s="456">
        <f t="shared" si="43"/>
        <v>0</v>
      </c>
      <c r="BL35" s="455">
        <f>INDEX(Tiere!D$30:D$87,'Berech. Lagerraum flüssig+fest'!$BG35)</f>
        <v>0</v>
      </c>
      <c r="BM35" s="451">
        <f>INDEX(Tiere!E$30:E$87,'Berech. Lagerraum flüssig+fest'!$BG35)</f>
        <v>0</v>
      </c>
      <c r="BN35" s="452">
        <f>INDEX(Tiere!F$30:F$87,'Berech. Lagerraum flüssig+fest'!$BG35)</f>
        <v>0</v>
      </c>
      <c r="BO35" s="451">
        <f>INDEX(Tiere!J$30:J$87,'Berech. Lagerraum flüssig+fest'!$BG35)</f>
        <v>0</v>
      </c>
      <c r="BP35" s="451">
        <f>INDEX(Tiere!R$30:R$87,'Berech. Lagerraum flüssig+fest'!$BG35)</f>
        <v>0</v>
      </c>
      <c r="BQ35" s="455">
        <f>INDEX(Tiere!M$30:M$87,'Berech. Lagerraum flüssig+fest'!$BG35)</f>
        <v>0</v>
      </c>
      <c r="BR35" s="451">
        <f>INDEX(Tiere!N$30:N$87,'Berech. Lagerraum flüssig+fest'!$BG35)</f>
        <v>0</v>
      </c>
      <c r="BS35" s="452">
        <f>INDEX(Tiere!O$30:O$87,'Berech. Lagerraum flüssig+fest'!$BG35)</f>
        <v>0</v>
      </c>
      <c r="BT35" s="455">
        <f>INDEX(Tiere!T$30:T$87,'Berech. Lagerraum flüssig+fest'!$BG35)</f>
        <v>0</v>
      </c>
      <c r="BU35" s="452">
        <f>INDEX(Tiere!U$30:U$87,'Berech. Lagerraum flüssig+fest'!$BG35)</f>
        <v>0</v>
      </c>
      <c r="BV35" s="458">
        <f>INDEX(Tiere!V$30:V$87,'Berech. Lagerraum flüssig+fest'!$BG35)</f>
        <v>0</v>
      </c>
      <c r="BW35" s="452">
        <f>INDEX(Tiere!W$30:W$87,'Berech. Lagerraum flüssig+fest'!$BG35)</f>
        <v>0</v>
      </c>
      <c r="BX35" s="452">
        <f>INDEX(Tiere!X$30:X$87,'Berech. Lagerraum flüssig+fest'!$BG35)</f>
        <v>0</v>
      </c>
      <c r="BY35" s="452">
        <f>INDEX(Tiere!Y$30:Y$87,'Berech. Lagerraum flüssig+fest'!$BG35)</f>
        <v>0</v>
      </c>
      <c r="BZ35" s="417">
        <v>5</v>
      </c>
      <c r="CA35" s="417">
        <v>3</v>
      </c>
      <c r="CB35" s="439">
        <v>17</v>
      </c>
      <c r="CC35" s="449">
        <f>INDEX(Tiere!Z$30:Z$87,'Berech. Lagerraum flüssig+fest'!$BG35)</f>
        <v>0</v>
      </c>
      <c r="CD35" s="449">
        <f>INDEX(Tiere!AA$30:AA$87,'Berech. Lagerraum flüssig+fest'!$BG35)</f>
        <v>0</v>
      </c>
      <c r="CE35" s="448">
        <f t="shared" si="21"/>
        <v>0</v>
      </c>
      <c r="CF35" s="449">
        <f t="shared" si="22"/>
        <v>0</v>
      </c>
      <c r="CG35" s="445">
        <f t="shared" si="44"/>
        <v>0</v>
      </c>
      <c r="CH35" s="449">
        <f t="shared" si="45"/>
        <v>0</v>
      </c>
      <c r="CI35" s="417"/>
      <c r="CJ35" s="445" t="b">
        <f t="shared" si="46"/>
        <v>0</v>
      </c>
      <c r="CK35" s="417"/>
      <c r="CL35" s="455">
        <f>INDEX(Tiere!AB$30:AB$87,'Berech. Lagerraum flüssig+fest'!$BG35)</f>
        <v>0</v>
      </c>
      <c r="CM35" s="455">
        <f>INDEX(Tiere!AC$30:AC$87,'Berech. Lagerraum flüssig+fest'!$BG35)</f>
        <v>0</v>
      </c>
      <c r="CN35" s="455">
        <f>INDEX(Tiere!AD$30:AD$87,'Berech. Lagerraum flüssig+fest'!$BG35)</f>
        <v>0</v>
      </c>
      <c r="CO35" s="196">
        <f t="shared" si="47"/>
        <v>0</v>
      </c>
      <c r="CP35" s="201">
        <f t="shared" si="48"/>
        <v>0</v>
      </c>
      <c r="CQ35" s="27"/>
      <c r="CR35" s="26">
        <f t="shared" si="49"/>
        <v>0</v>
      </c>
      <c r="CS35" s="26">
        <f t="shared" si="50"/>
        <v>0</v>
      </c>
      <c r="CT35" s="26">
        <f t="shared" si="51"/>
        <v>0</v>
      </c>
    </row>
    <row r="36" spans="1:100" ht="15.75" customHeight="1" x14ac:dyDescent="0.25">
      <c r="A36" s="950"/>
      <c r="B36" s="951"/>
      <c r="C36" s="951"/>
      <c r="D36" s="852"/>
      <c r="E36" s="853"/>
      <c r="F36" s="163"/>
      <c r="G36" s="852"/>
      <c r="H36" s="854"/>
      <c r="I36" s="385" t="str">
        <f t="shared" si="23"/>
        <v xml:space="preserve"> </v>
      </c>
      <c r="J36" s="385" t="str">
        <f t="shared" si="53"/>
        <v xml:space="preserve"> </v>
      </c>
      <c r="K36" s="27"/>
      <c r="L36" s="27"/>
      <c r="M36" s="417"/>
      <c r="N36" s="445" t="str">
        <f t="shared" si="0"/>
        <v xml:space="preserve"> </v>
      </c>
      <c r="O36" s="445"/>
      <c r="P36" s="445">
        <f t="shared" si="1"/>
        <v>0</v>
      </c>
      <c r="Q36" s="445">
        <f t="shared" si="2"/>
        <v>0</v>
      </c>
      <c r="R36" s="445">
        <f t="shared" si="3"/>
        <v>0</v>
      </c>
      <c r="S36" s="445">
        <f t="shared" si="4"/>
        <v>0</v>
      </c>
      <c r="T36" s="445" t="str">
        <f t="shared" si="5"/>
        <v xml:space="preserve"> </v>
      </c>
      <c r="U36" s="446">
        <f t="shared" si="6"/>
        <v>0</v>
      </c>
      <c r="V36" s="447">
        <f t="shared" si="7"/>
        <v>0</v>
      </c>
      <c r="W36" s="563">
        <f t="shared" si="24"/>
        <v>0</v>
      </c>
      <c r="X36" s="563">
        <f t="shared" si="25"/>
        <v>0</v>
      </c>
      <c r="Y36" s="563">
        <f t="shared" si="26"/>
        <v>0</v>
      </c>
      <c r="Z36" s="563">
        <f t="shared" si="27"/>
        <v>0</v>
      </c>
      <c r="AA36" s="448">
        <f t="shared" si="8"/>
        <v>0</v>
      </c>
      <c r="AB36" s="445">
        <f t="shared" si="9"/>
        <v>0</v>
      </c>
      <c r="AC36" s="445">
        <f t="shared" si="10"/>
        <v>0</v>
      </c>
      <c r="AD36" s="449">
        <f t="shared" si="11"/>
        <v>0</v>
      </c>
      <c r="AE36" s="450">
        <f>INDEX(Tiere!K$30:K$87,'Berech. Lagerraum flüssig+fest'!$BG36)</f>
        <v>0</v>
      </c>
      <c r="AF36" s="450">
        <f>INDEX(Tiere!S$30:S$87,'Berech. Lagerraum flüssig+fest'!BG36)</f>
        <v>0</v>
      </c>
      <c r="AG36" s="445">
        <f t="shared" si="28"/>
        <v>0</v>
      </c>
      <c r="AH36" s="445">
        <f t="shared" si="29"/>
        <v>0</v>
      </c>
      <c r="AI36" s="445">
        <f t="shared" si="30"/>
        <v>0</v>
      </c>
      <c r="AJ36" s="448">
        <f t="shared" si="12"/>
        <v>0</v>
      </c>
      <c r="AK36" s="445">
        <f t="shared" si="13"/>
        <v>0</v>
      </c>
      <c r="AL36" s="449">
        <f t="shared" si="14"/>
        <v>0</v>
      </c>
      <c r="AM36" s="450">
        <f>INDEX(Tiere!P$30:P$87,'Berech. Lagerraum flüssig+fest'!$BG36)</f>
        <v>0</v>
      </c>
      <c r="AN36" s="451">
        <f t="shared" si="31"/>
        <v>0</v>
      </c>
      <c r="AO36" s="451">
        <f t="shared" si="32"/>
        <v>0</v>
      </c>
      <c r="AP36" s="451">
        <f t="shared" si="33"/>
        <v>0</v>
      </c>
      <c r="AQ36" s="448">
        <f t="shared" si="34"/>
        <v>0</v>
      </c>
      <c r="AR36" s="445">
        <f t="shared" si="35"/>
        <v>0</v>
      </c>
      <c r="AS36" s="449">
        <f t="shared" si="36"/>
        <v>0</v>
      </c>
      <c r="AT36" s="445"/>
      <c r="AU36" s="560">
        <f t="shared" si="15"/>
        <v>0</v>
      </c>
      <c r="AV36" s="561">
        <f t="shared" si="16"/>
        <v>0</v>
      </c>
      <c r="AW36" s="561">
        <f t="shared" si="17"/>
        <v>0</v>
      </c>
      <c r="AX36" s="448">
        <f t="shared" si="18"/>
        <v>0</v>
      </c>
      <c r="AY36" s="445">
        <f t="shared" si="19"/>
        <v>0</v>
      </c>
      <c r="AZ36" s="449">
        <f t="shared" si="20"/>
        <v>0</v>
      </c>
      <c r="BA36" s="455">
        <f t="shared" si="37"/>
        <v>0</v>
      </c>
      <c r="BB36" s="452">
        <f t="shared" si="38"/>
        <v>0</v>
      </c>
      <c r="BC36" s="455">
        <f t="shared" si="52"/>
        <v>0</v>
      </c>
      <c r="BD36" s="455">
        <f t="shared" si="39"/>
        <v>0</v>
      </c>
      <c r="BE36" s="455">
        <f t="shared" si="40"/>
        <v>0</v>
      </c>
      <c r="BF36" s="456">
        <f t="shared" si="41"/>
        <v>1</v>
      </c>
      <c r="BG36" s="457">
        <v>1</v>
      </c>
      <c r="BH36" s="457">
        <v>1</v>
      </c>
      <c r="BI36" s="456">
        <f>INDEX(Tiere!C$30:C$87,'Berech. Lagerraum flüssig+fest'!$BG36)</f>
        <v>0</v>
      </c>
      <c r="BJ36" s="456" t="str">
        <f t="shared" si="42"/>
        <v>1</v>
      </c>
      <c r="BK36" s="456">
        <f t="shared" si="43"/>
        <v>0</v>
      </c>
      <c r="BL36" s="455">
        <f>INDEX(Tiere!D$30:D$87,'Berech. Lagerraum flüssig+fest'!$BG36)</f>
        <v>0</v>
      </c>
      <c r="BM36" s="451">
        <f>INDEX(Tiere!E$30:E$87,'Berech. Lagerraum flüssig+fest'!$BG36)</f>
        <v>0</v>
      </c>
      <c r="BN36" s="452">
        <f>INDEX(Tiere!F$30:F$87,'Berech. Lagerraum flüssig+fest'!$BG36)</f>
        <v>0</v>
      </c>
      <c r="BO36" s="451">
        <f>INDEX(Tiere!J$30:J$87,'Berech. Lagerraum flüssig+fest'!$BG36)</f>
        <v>0</v>
      </c>
      <c r="BP36" s="451">
        <f>INDEX(Tiere!R$30:R$87,'Berech. Lagerraum flüssig+fest'!$BG36)</f>
        <v>0</v>
      </c>
      <c r="BQ36" s="455">
        <f>INDEX(Tiere!M$30:M$87,'Berech. Lagerraum flüssig+fest'!$BG36)</f>
        <v>0</v>
      </c>
      <c r="BR36" s="451">
        <f>INDEX(Tiere!N$30:N$87,'Berech. Lagerraum flüssig+fest'!$BG36)</f>
        <v>0</v>
      </c>
      <c r="BS36" s="452">
        <f>INDEX(Tiere!O$30:O$87,'Berech. Lagerraum flüssig+fest'!$BG36)</f>
        <v>0</v>
      </c>
      <c r="BT36" s="455">
        <f>INDEX(Tiere!T$30:T$87,'Berech. Lagerraum flüssig+fest'!$BG36)</f>
        <v>0</v>
      </c>
      <c r="BU36" s="452">
        <f>INDEX(Tiere!U$30:U$87,'Berech. Lagerraum flüssig+fest'!$BG36)</f>
        <v>0</v>
      </c>
      <c r="BV36" s="458">
        <f>INDEX(Tiere!V$30:V$87,'Berech. Lagerraum flüssig+fest'!$BG36)</f>
        <v>0</v>
      </c>
      <c r="BW36" s="452">
        <f>INDEX(Tiere!W$30:W$87,'Berech. Lagerraum flüssig+fest'!$BG36)</f>
        <v>0</v>
      </c>
      <c r="BX36" s="452">
        <f>INDEX(Tiere!X$30:X$87,'Berech. Lagerraum flüssig+fest'!$BG36)</f>
        <v>0</v>
      </c>
      <c r="BY36" s="452">
        <f>INDEX(Tiere!Y$30:Y$87,'Berech. Lagerraum flüssig+fest'!$BG36)</f>
        <v>0</v>
      </c>
      <c r="BZ36" s="417">
        <v>5</v>
      </c>
      <c r="CA36" s="417">
        <v>3</v>
      </c>
      <c r="CB36" s="439">
        <v>17</v>
      </c>
      <c r="CC36" s="449">
        <f>INDEX(Tiere!Z$30:Z$87,'Berech. Lagerraum flüssig+fest'!$BG36)</f>
        <v>0</v>
      </c>
      <c r="CD36" s="449">
        <f>INDEX(Tiere!AA$30:AA$87,'Berech. Lagerraum flüssig+fest'!$BG36)</f>
        <v>0</v>
      </c>
      <c r="CE36" s="448">
        <f t="shared" si="21"/>
        <v>0</v>
      </c>
      <c r="CF36" s="449">
        <f t="shared" si="22"/>
        <v>0</v>
      </c>
      <c r="CG36" s="445">
        <f t="shared" si="44"/>
        <v>0</v>
      </c>
      <c r="CH36" s="449">
        <f t="shared" si="45"/>
        <v>0</v>
      </c>
      <c r="CI36" s="417"/>
      <c r="CJ36" s="445" t="b">
        <f t="shared" si="46"/>
        <v>0</v>
      </c>
      <c r="CK36" s="417"/>
      <c r="CL36" s="455">
        <f>INDEX(Tiere!AB$30:AB$87,'Berech. Lagerraum flüssig+fest'!$BG36)</f>
        <v>0</v>
      </c>
      <c r="CM36" s="455">
        <f>INDEX(Tiere!AC$30:AC$87,'Berech. Lagerraum flüssig+fest'!$BG36)</f>
        <v>0</v>
      </c>
      <c r="CN36" s="455">
        <f>INDEX(Tiere!AD$30:AD$87,'Berech. Lagerraum flüssig+fest'!$BG36)</f>
        <v>0</v>
      </c>
      <c r="CO36" s="196">
        <f t="shared" si="47"/>
        <v>0</v>
      </c>
      <c r="CP36" s="201">
        <f t="shared" si="48"/>
        <v>0</v>
      </c>
      <c r="CQ36" s="27"/>
      <c r="CR36" s="26">
        <f t="shared" si="49"/>
        <v>0</v>
      </c>
      <c r="CS36" s="26">
        <f t="shared" si="50"/>
        <v>0</v>
      </c>
      <c r="CT36" s="26">
        <f t="shared" si="51"/>
        <v>0</v>
      </c>
    </row>
    <row r="37" spans="1:100" ht="15.75" customHeight="1" x14ac:dyDescent="0.25">
      <c r="A37" s="984" t="s">
        <v>314</v>
      </c>
      <c r="B37" s="985"/>
      <c r="C37" s="985"/>
      <c r="D37" s="985"/>
      <c r="E37" s="985"/>
      <c r="F37" s="985"/>
      <c r="G37" s="985"/>
      <c r="H37" s="986"/>
      <c r="I37" s="858"/>
      <c r="J37" s="858"/>
      <c r="K37" s="27">
        <v>1</v>
      </c>
      <c r="L37" s="27"/>
      <c r="M37" s="850"/>
      <c r="N37" s="445">
        <f t="shared" si="0"/>
        <v>0</v>
      </c>
      <c r="O37" s="445"/>
      <c r="P37" s="445">
        <f>+I37</f>
        <v>0</v>
      </c>
      <c r="Q37" s="445"/>
      <c r="R37" s="445">
        <f>+I37</f>
        <v>0</v>
      </c>
      <c r="S37" s="445"/>
      <c r="T37" s="445">
        <f>+J37/BV37</f>
        <v>0</v>
      </c>
      <c r="U37" s="446"/>
      <c r="V37" s="447"/>
      <c r="W37" s="849"/>
      <c r="X37" s="849"/>
      <c r="Y37" s="849"/>
      <c r="Z37" s="849"/>
      <c r="AA37" s="448"/>
      <c r="AB37" s="445"/>
      <c r="AC37" s="445"/>
      <c r="AD37" s="449"/>
      <c r="AE37" s="450"/>
      <c r="AF37" s="450"/>
      <c r="AG37" s="445"/>
      <c r="AH37" s="445"/>
      <c r="AI37" s="445"/>
      <c r="AJ37" s="448"/>
      <c r="AK37" s="445"/>
      <c r="AL37" s="449"/>
      <c r="AM37" s="450"/>
      <c r="AN37" s="451"/>
      <c r="AO37" s="451"/>
      <c r="AP37" s="451"/>
      <c r="AQ37" s="448"/>
      <c r="AR37" s="445"/>
      <c r="AS37" s="449"/>
      <c r="AT37" s="445"/>
      <c r="AU37" s="560"/>
      <c r="AV37" s="561"/>
      <c r="AW37" s="561"/>
      <c r="AX37" s="448"/>
      <c r="AY37" s="445"/>
      <c r="AZ37" s="449"/>
      <c r="BA37" s="455"/>
      <c r="BB37" s="452"/>
      <c r="BC37" s="455"/>
      <c r="BD37" s="451"/>
      <c r="BE37" s="451"/>
      <c r="BF37" s="456"/>
      <c r="BG37" s="457"/>
      <c r="BH37" s="457"/>
      <c r="BI37" s="456"/>
      <c r="BJ37" s="456"/>
      <c r="BK37" s="456"/>
      <c r="BL37" s="455"/>
      <c r="BM37" s="451"/>
      <c r="BN37" s="452"/>
      <c r="BO37" s="451"/>
      <c r="BP37" s="451"/>
      <c r="BQ37" s="455"/>
      <c r="BR37" s="451"/>
      <c r="BS37" s="452"/>
      <c r="BT37" s="455"/>
      <c r="BU37" s="452"/>
      <c r="BV37" s="851">
        <v>0.9</v>
      </c>
      <c r="BW37" s="451"/>
      <c r="BX37" s="451"/>
      <c r="BY37" s="451"/>
      <c r="BZ37" s="850"/>
      <c r="CA37" s="850"/>
      <c r="CB37" s="850"/>
      <c r="CC37" s="449"/>
      <c r="CD37" s="449"/>
      <c r="CE37" s="448"/>
      <c r="CF37" s="449"/>
      <c r="CG37" s="445"/>
      <c r="CH37" s="449"/>
      <c r="CI37" s="850"/>
      <c r="CJ37" s="445"/>
      <c r="CK37" s="850"/>
      <c r="CL37" s="455"/>
      <c r="CM37" s="455"/>
      <c r="CN37" s="455"/>
      <c r="CP37" s="201"/>
      <c r="CQ37" s="27"/>
      <c r="CR37" s="26"/>
      <c r="CS37" s="26"/>
      <c r="CT37" s="26"/>
    </row>
    <row r="38" spans="1:100" ht="15.75" hidden="1" customHeight="1" x14ac:dyDescent="0.25">
      <c r="A38" s="987" t="str">
        <f>IF(M39+M40+M41&gt;=1,"Bitte Tierart im Arbeitsblatt 'Abweichende Werte' auswählen","Eingabemöglichkeit für andere Haltungsverfahren; siehe Blatt 'Abweichende Werte' ")</f>
        <v xml:space="preserve">Eingabemöglichkeit für andere Haltungsverfahren; siehe Blatt 'Abweichende Werte' </v>
      </c>
      <c r="B38" s="988"/>
      <c r="C38" s="988"/>
      <c r="D38" s="988"/>
      <c r="E38" s="988"/>
      <c r="F38" s="988"/>
      <c r="G38" s="988"/>
      <c r="H38" s="989"/>
      <c r="I38" s="405"/>
      <c r="J38" s="405"/>
      <c r="K38" s="27"/>
      <c r="L38" s="27"/>
      <c r="M38" s="417"/>
      <c r="N38" s="445"/>
      <c r="O38" s="417"/>
      <c r="P38" s="445"/>
      <c r="Q38" s="445"/>
      <c r="R38" s="445"/>
      <c r="S38" s="445"/>
      <c r="T38" s="445"/>
      <c r="U38" s="446"/>
      <c r="V38" s="447"/>
      <c r="W38" s="563">
        <f t="shared" si="24"/>
        <v>0</v>
      </c>
      <c r="X38" s="563">
        <f t="shared" si="25"/>
        <v>0</v>
      </c>
      <c r="Y38" s="563">
        <f t="shared" si="26"/>
        <v>0</v>
      </c>
      <c r="Z38" s="563">
        <f t="shared" si="27"/>
        <v>0</v>
      </c>
      <c r="AA38" s="448"/>
      <c r="AB38" s="445"/>
      <c r="AC38" s="445"/>
      <c r="AD38" s="449"/>
      <c r="AE38" s="461"/>
      <c r="AF38" s="461"/>
      <c r="AG38" s="445"/>
      <c r="AH38" s="445"/>
      <c r="AI38" s="445"/>
      <c r="AJ38" s="448"/>
      <c r="AK38" s="445"/>
      <c r="AL38" s="449"/>
      <c r="AM38" s="461"/>
      <c r="AN38" s="451"/>
      <c r="AO38" s="451"/>
      <c r="AP38" s="451"/>
      <c r="AQ38" s="448"/>
      <c r="AR38" s="445"/>
      <c r="AS38" s="449"/>
      <c r="AT38" s="417"/>
      <c r="AU38" s="560"/>
      <c r="AV38" s="561"/>
      <c r="AW38" s="561">
        <f t="shared" si="17"/>
        <v>0</v>
      </c>
      <c r="AX38" s="448"/>
      <c r="AY38" s="445"/>
      <c r="AZ38" s="449">
        <f t="shared" si="20"/>
        <v>0</v>
      </c>
      <c r="BA38" s="438"/>
      <c r="BB38" s="439"/>
      <c r="BC38" s="455"/>
      <c r="BD38" s="451"/>
      <c r="BE38" s="452"/>
      <c r="BF38" s="456"/>
      <c r="BG38" s="433"/>
      <c r="BH38" s="433"/>
      <c r="BI38" s="433"/>
      <c r="BJ38" s="456"/>
      <c r="BK38" s="456"/>
      <c r="BL38" s="438"/>
      <c r="BM38" s="417"/>
      <c r="BN38" s="439"/>
      <c r="BO38" s="417"/>
      <c r="BP38" s="417"/>
      <c r="BQ38" s="438"/>
      <c r="BR38" s="417"/>
      <c r="BS38" s="439"/>
      <c r="BT38" s="438"/>
      <c r="BU38" s="439"/>
      <c r="BV38" s="462"/>
      <c r="BW38" s="417"/>
      <c r="BX38" s="417"/>
      <c r="BY38" s="417"/>
      <c r="BZ38" s="417"/>
      <c r="CA38" s="417"/>
      <c r="CB38" s="417"/>
      <c r="CC38" s="449"/>
      <c r="CD38" s="449"/>
      <c r="CE38" s="448"/>
      <c r="CF38" s="449"/>
      <c r="CG38" s="445"/>
      <c r="CH38" s="449"/>
      <c r="CI38" s="417"/>
      <c r="CJ38" s="445"/>
      <c r="CK38" s="417"/>
      <c r="CL38" s="455"/>
      <c r="CM38" s="455"/>
      <c r="CN38" s="455"/>
      <c r="CO38" s="196">
        <f t="shared" si="47"/>
        <v>0</v>
      </c>
      <c r="CP38" s="201">
        <f t="shared" si="48"/>
        <v>0</v>
      </c>
      <c r="CQ38" s="27"/>
      <c r="CR38" s="26">
        <f t="shared" si="49"/>
        <v>0</v>
      </c>
      <c r="CS38" s="26">
        <f t="shared" si="50"/>
        <v>0</v>
      </c>
      <c r="CT38" s="26">
        <f t="shared" si="51"/>
        <v>0</v>
      </c>
    </row>
    <row r="39" spans="1:100" ht="15.75" hidden="1" customHeight="1" x14ac:dyDescent="0.25">
      <c r="A39" s="979" t="str">
        <f>+'Abweichende Werte'!V7</f>
        <v xml:space="preserve"> -- - </v>
      </c>
      <c r="B39" s="980"/>
      <c r="C39" s="980"/>
      <c r="D39" s="276"/>
      <c r="E39" s="404"/>
      <c r="F39" s="164"/>
      <c r="G39" s="276"/>
      <c r="H39" s="293"/>
      <c r="I39" s="289" t="str">
        <f t="shared" ref="I39:J41" si="54">IF(P39+R39=0," ",(P39+R39)/2)</f>
        <v xml:space="preserve"> </v>
      </c>
      <c r="J39" s="289" t="str">
        <f t="shared" si="54"/>
        <v xml:space="preserve"> </v>
      </c>
      <c r="K39" s="27"/>
      <c r="L39" s="27"/>
      <c r="M39" s="417">
        <f>IF(D39+E39&gt;=1,IF(BF39=1,1,0),0)</f>
        <v>0</v>
      </c>
      <c r="N39" s="445" t="str">
        <f>IF(J39=" "," ",(J39*(1/BV39)))</f>
        <v xml:space="preserve"> </v>
      </c>
      <c r="O39" s="445"/>
      <c r="P39" s="445">
        <f>IF(CJ39=FALSE,0,IF(U39+V39=0,0,IF(AU39*BO39+AV39*BA39=0,0,AU39*BO39+AV39*BA39)))</f>
        <v>0</v>
      </c>
      <c r="Q39" s="445">
        <f>IF(CJ39=FALSE,0,IF(V39=0,0,IF(AY39+AV39=0,0,IF(BF39=4,AV39*BB39-(D39*(1-G39/100)*BB39)*((1220/1000)/(2*11)),AV39*BB39))))</f>
        <v>0</v>
      </c>
      <c r="R39" s="445">
        <f>IF(CJ39=FALSE,0,IF(U39+V39=0,0,IF(AX39*BO39+AY39*BA39=0,0,AX39*BO39+AY39*BA39)))</f>
        <v>0</v>
      </c>
      <c r="S39" s="445">
        <f>IF(CJ39=FALSE,0,IF(V39=0,0,IF(AY39+AV39=0,0,IF(BF39=4,AY39*BB39-(D39*(1-H39/100)*BB39)*((1220/1000)/(2*11)),AY39*BB39))))</f>
        <v>0</v>
      </c>
      <c r="T39" s="445" t="str">
        <f>IF(S39=0," ",(S39*(1/BV39)))</f>
        <v xml:space="preserve"> </v>
      </c>
      <c r="U39" s="446">
        <f>IF(BO39=0,0,D39)</f>
        <v>0</v>
      </c>
      <c r="V39" s="447">
        <f>IF(BO39=0,D39+E39,E39)</f>
        <v>0</v>
      </c>
      <c r="W39" s="563">
        <f t="shared" si="24"/>
        <v>0</v>
      </c>
      <c r="X39" s="563">
        <f t="shared" si="25"/>
        <v>0</v>
      </c>
      <c r="Y39" s="563">
        <f t="shared" si="26"/>
        <v>0</v>
      </c>
      <c r="Z39" s="563">
        <f t="shared" si="27"/>
        <v>0</v>
      </c>
      <c r="AA39" s="448">
        <f>+(AX39*BL39*(100-BT39)/100)+(BA39*BC39*AY39)</f>
        <v>0</v>
      </c>
      <c r="AB39" s="445">
        <f>IF(BF39=2,AA39,0)</f>
        <v>0</v>
      </c>
      <c r="AC39" s="445">
        <f>AX39*BM39+AY39*BA39*BD39</f>
        <v>0</v>
      </c>
      <c r="AD39" s="449">
        <f>AX39*BN39+AY39*BA39*BE39</f>
        <v>0</v>
      </c>
      <c r="AE39" s="450">
        <f>'Abweichende Werte'!L7</f>
        <v>0</v>
      </c>
      <c r="AF39" s="450">
        <f>'Abweichende Werte'!M7</f>
        <v>0</v>
      </c>
      <c r="AG39" s="445">
        <f t="shared" si="28"/>
        <v>0</v>
      </c>
      <c r="AH39" s="445">
        <f t="shared" si="29"/>
        <v>0</v>
      </c>
      <c r="AI39" s="445">
        <f t="shared" si="30"/>
        <v>0</v>
      </c>
      <c r="AJ39" s="448">
        <f>+(AY39*BL39*(100-BU39)/100)-BA39*AY39*BC39</f>
        <v>0</v>
      </c>
      <c r="AK39" s="445">
        <f>AY39*BM39-AY39*BA39*BD39</f>
        <v>0</v>
      </c>
      <c r="AL39" s="449">
        <f>AY39*BN39-AY39*BA39*BE39</f>
        <v>0</v>
      </c>
      <c r="AM39" s="461">
        <f>'Abweichende Werte'!N7</f>
        <v>0</v>
      </c>
      <c r="AN39" s="451">
        <f t="shared" si="31"/>
        <v>0</v>
      </c>
      <c r="AO39" s="451">
        <f t="shared" si="32"/>
        <v>0</v>
      </c>
      <c r="AP39" s="451">
        <f t="shared" si="33"/>
        <v>0</v>
      </c>
      <c r="AQ39" s="448">
        <f t="shared" si="34"/>
        <v>0</v>
      </c>
      <c r="AR39" s="445">
        <f t="shared" si="35"/>
        <v>0</v>
      </c>
      <c r="AS39" s="449">
        <f t="shared" si="36"/>
        <v>0</v>
      </c>
      <c r="AT39" s="445"/>
      <c r="AU39" s="560">
        <f t="shared" ref="AU39:AV41" si="55">+U39*(100-$G39)/100</f>
        <v>0</v>
      </c>
      <c r="AV39" s="561">
        <f t="shared" si="55"/>
        <v>0</v>
      </c>
      <c r="AW39" s="561">
        <f t="shared" si="17"/>
        <v>0</v>
      </c>
      <c r="AX39" s="448">
        <f t="shared" ref="AX39:AY41" si="56">+U39*(100-$H39)/100</f>
        <v>0</v>
      </c>
      <c r="AY39" s="445">
        <f t="shared" si="56"/>
        <v>0</v>
      </c>
      <c r="AZ39" s="449">
        <f t="shared" si="20"/>
        <v>0</v>
      </c>
      <c r="BA39" s="455">
        <f>IF(BH39=1,BP39,IF(BH39=2,BP39/2,0))</f>
        <v>0</v>
      </c>
      <c r="BB39" s="452">
        <f>IF(BH39=1,BQ39,IF(BH39=2,BR39,BS39))</f>
        <v>0</v>
      </c>
      <c r="BC39" s="455">
        <f>IF(BF39=2,3.2,IF(BF39=3,3.3,0))</f>
        <v>0</v>
      </c>
      <c r="BD39" s="455">
        <f>IF(BF39=2,0,IF(BF39=3,0,0))</f>
        <v>0</v>
      </c>
      <c r="BE39" s="455">
        <f>IF(BF39=2,7.9,IF(BF39=3,3.1,0))</f>
        <v>0</v>
      </c>
      <c r="BF39" s="456">
        <f>'Abweichende Werte'!T7</f>
        <v>1</v>
      </c>
      <c r="BG39" s="457"/>
      <c r="BH39" s="457">
        <v>1</v>
      </c>
      <c r="BI39" s="456">
        <f>'Abweichende Werte'!C7</f>
        <v>0</v>
      </c>
      <c r="BJ39" s="456" t="str">
        <f>IF(BI39&gt;0.001,BI39,"1")</f>
        <v>1</v>
      </c>
      <c r="BK39" s="455">
        <f>D39*BI39+E39*BI39</f>
        <v>0</v>
      </c>
      <c r="BL39" s="455">
        <f>'Abweichende Werte'!D7</f>
        <v>0</v>
      </c>
      <c r="BM39" s="451">
        <f>'Abweichende Werte'!E7</f>
        <v>0</v>
      </c>
      <c r="BN39" s="452">
        <f>'Abweichende Werte'!F7</f>
        <v>0</v>
      </c>
      <c r="BO39" s="455">
        <f>'Abweichende Werte'!G7</f>
        <v>0</v>
      </c>
      <c r="BP39" s="452">
        <f>'Abweichende Werte'!H7</f>
        <v>0</v>
      </c>
      <c r="BQ39" s="451">
        <f>'Abweichende Werte'!I7</f>
        <v>0</v>
      </c>
      <c r="BR39" s="451">
        <f>'Abweichende Werte'!J7</f>
        <v>0</v>
      </c>
      <c r="BS39" s="451">
        <f>'Abweichende Werte'!K7</f>
        <v>0</v>
      </c>
      <c r="BT39" s="455">
        <f>IF(BF39=2,15,IF(BF39=3,20,IF(BF39=4,40,IF(BF39=5,45,0))))</f>
        <v>0</v>
      </c>
      <c r="BU39" s="452">
        <f>IF(BF39=2,30,IF(BF39=3,30,IF(BF39=4,40,IF(BF39=5,45,0))))</f>
        <v>0</v>
      </c>
      <c r="BV39" s="458">
        <f>'Abweichende Werte'!R7</f>
        <v>0</v>
      </c>
      <c r="BW39" s="417">
        <f>'Abweichende Werte'!O7</f>
        <v>0</v>
      </c>
      <c r="BX39" s="433">
        <f>'Abweichende Werte'!P7</f>
        <v>0</v>
      </c>
      <c r="BY39" s="417">
        <f>'Abweichende Werte'!Q7</f>
        <v>0</v>
      </c>
      <c r="BZ39" s="438">
        <v>5</v>
      </c>
      <c r="CA39" s="433">
        <v>3</v>
      </c>
      <c r="CB39" s="439">
        <v>17</v>
      </c>
      <c r="CC39" s="449">
        <f>IF(BF39=1,0,IF(BF39=2,1,IF(BF39=3,1,5)))</f>
        <v>0</v>
      </c>
      <c r="CD39" s="449">
        <f>IF(BF39=1,0,IF(BF39=2,2,IF(BF39=3,2,5)))</f>
        <v>0</v>
      </c>
      <c r="CE39" s="448">
        <f>IF(N39=" ",0,CC39*N39)</f>
        <v>0</v>
      </c>
      <c r="CF39" s="449">
        <f>IF(N39=" ",0,CD39*N39)</f>
        <v>0</v>
      </c>
      <c r="CG39" s="445">
        <f t="shared" si="44"/>
        <v>0</v>
      </c>
      <c r="CH39" s="449">
        <f t="shared" si="45"/>
        <v>0</v>
      </c>
      <c r="CI39" s="417"/>
      <c r="CJ39" s="445" t="b">
        <f>AND(BF39&gt;1)</f>
        <v>0</v>
      </c>
      <c r="CK39" s="417"/>
      <c r="CL39" s="455">
        <f>INDEX(Tiere!F$91:F$95,'Berech. Lagerraum flüssig+fest'!$BF39)</f>
        <v>0</v>
      </c>
      <c r="CM39" s="455">
        <f>INDEX(Tiere!G$91:G$95,'Berech. Lagerraum flüssig+fest'!$BF39)</f>
        <v>0</v>
      </c>
      <c r="CN39" s="455">
        <f>INDEX(Tiere!H$91:H$95,'Berech. Lagerraum flüssig+fest'!$BF39)</f>
        <v>0</v>
      </c>
      <c r="CO39" s="196">
        <f t="shared" si="47"/>
        <v>0</v>
      </c>
      <c r="CP39" s="201">
        <f t="shared" si="48"/>
        <v>0</v>
      </c>
      <c r="CQ39" s="27"/>
      <c r="CR39" s="26">
        <f t="shared" si="49"/>
        <v>0</v>
      </c>
      <c r="CS39" s="26">
        <f t="shared" si="50"/>
        <v>0</v>
      </c>
      <c r="CT39" s="26">
        <f t="shared" si="51"/>
        <v>0</v>
      </c>
    </row>
    <row r="40" spans="1:100" ht="15.75" hidden="1" customHeight="1" x14ac:dyDescent="0.25">
      <c r="A40" s="979" t="str">
        <f>+'Abweichende Werte'!V8</f>
        <v xml:space="preserve"> -- - </v>
      </c>
      <c r="B40" s="980"/>
      <c r="C40" s="980"/>
      <c r="D40" s="278"/>
      <c r="E40" s="295"/>
      <c r="F40" s="164"/>
      <c r="G40" s="278"/>
      <c r="H40" s="288"/>
      <c r="I40" s="289" t="str">
        <f t="shared" si="54"/>
        <v xml:space="preserve"> </v>
      </c>
      <c r="J40" s="289" t="str">
        <f t="shared" si="54"/>
        <v xml:space="preserve"> </v>
      </c>
      <c r="K40" s="27"/>
      <c r="L40" s="27"/>
      <c r="M40" s="417">
        <f>IF(D40+E40&gt;=1,IF(BF40=1,1,0),0)</f>
        <v>0</v>
      </c>
      <c r="N40" s="445" t="str">
        <f>IF(J40=" "," ",(J40*(1/BV40)))</f>
        <v xml:space="preserve"> </v>
      </c>
      <c r="O40" s="445"/>
      <c r="P40" s="445">
        <f>IF(CJ40=FALSE,0,IF(U40+V40=0,0,IF(AU40*BO40+AV40*BA40=0,0,AU40*BO40+AV40*BA40)))</f>
        <v>0</v>
      </c>
      <c r="Q40" s="445">
        <f>IF(CJ40=FALSE,0,IF(V40=0,0,IF(AY40+AV40=0,0,IF(BF40=4,AV40*BB40-(D40*(1-G40/100)*BB40)*((1220/1000)/(2*11)),AV40*BB40))))</f>
        <v>0</v>
      </c>
      <c r="R40" s="445">
        <f>IF(CJ40=FALSE,0,IF(U40+V40=0,0,IF(AX40*BO40+AY40*BA40=0,0,AX40*BO40+AY40*BA40)))</f>
        <v>0</v>
      </c>
      <c r="S40" s="445">
        <f>IF(CJ40=FALSE,0,IF(V40=0,0,IF(AY40+AV40=0,0,IF(BF40=4,AY40*BB40-(D40*(1-H40/100)*BB40)*((1220/1000)/(2*11)),AY40*BB40))))</f>
        <v>0</v>
      </c>
      <c r="T40" s="445" t="str">
        <f>IF(S40=0," ",(S40*(1/BV40)))</f>
        <v xml:space="preserve"> </v>
      </c>
      <c r="U40" s="446">
        <f>IF(BO40=0,0,D40)</f>
        <v>0</v>
      </c>
      <c r="V40" s="447">
        <f>IF(BO40=0,D40+E40,E40)</f>
        <v>0</v>
      </c>
      <c r="W40" s="563">
        <f t="shared" si="24"/>
        <v>0</v>
      </c>
      <c r="X40" s="563">
        <f t="shared" si="25"/>
        <v>0</v>
      </c>
      <c r="Y40" s="563">
        <f t="shared" si="26"/>
        <v>0</v>
      </c>
      <c r="Z40" s="563">
        <f t="shared" si="27"/>
        <v>0</v>
      </c>
      <c r="AA40" s="448">
        <f>+(AX40*BL40*(100-BT40)/100)+(BA40*BC40*AY40)</f>
        <v>0</v>
      </c>
      <c r="AB40" s="445">
        <f>IF(BF40=2,AA40,0)</f>
        <v>0</v>
      </c>
      <c r="AC40" s="445">
        <f>AX40*BM40+AY40*BA40*BD40</f>
        <v>0</v>
      </c>
      <c r="AD40" s="449">
        <f>AX40*BN40+AY40*BA40*BE40</f>
        <v>0</v>
      </c>
      <c r="AE40" s="450">
        <f>'Abweichende Werte'!L8</f>
        <v>0</v>
      </c>
      <c r="AF40" s="450">
        <f>'Abweichende Werte'!M8</f>
        <v>0</v>
      </c>
      <c r="AG40" s="445">
        <f t="shared" si="28"/>
        <v>0</v>
      </c>
      <c r="AH40" s="445">
        <f t="shared" si="29"/>
        <v>0</v>
      </c>
      <c r="AI40" s="445">
        <f t="shared" si="30"/>
        <v>0</v>
      </c>
      <c r="AJ40" s="448">
        <f>+(AY40*BL40*(100-BU40)/100)-BA40*AY40*BC40</f>
        <v>0</v>
      </c>
      <c r="AK40" s="445">
        <f>AY40*BM40-AY40*BA40*BD40</f>
        <v>0</v>
      </c>
      <c r="AL40" s="449">
        <f>AY40*BN40-AY40*BA40*BE40</f>
        <v>0</v>
      </c>
      <c r="AM40" s="461">
        <f>'Abweichende Werte'!N8</f>
        <v>0</v>
      </c>
      <c r="AN40" s="451">
        <f t="shared" si="31"/>
        <v>0</v>
      </c>
      <c r="AO40" s="451">
        <f t="shared" si="32"/>
        <v>0</v>
      </c>
      <c r="AP40" s="451">
        <f t="shared" si="33"/>
        <v>0</v>
      </c>
      <c r="AQ40" s="448">
        <f t="shared" si="34"/>
        <v>0</v>
      </c>
      <c r="AR40" s="445">
        <f t="shared" si="35"/>
        <v>0</v>
      </c>
      <c r="AS40" s="449">
        <f t="shared" si="36"/>
        <v>0</v>
      </c>
      <c r="AT40" s="445"/>
      <c r="AU40" s="560">
        <f t="shared" si="55"/>
        <v>0</v>
      </c>
      <c r="AV40" s="561">
        <f t="shared" si="55"/>
        <v>0</v>
      </c>
      <c r="AW40" s="561">
        <f t="shared" si="17"/>
        <v>0</v>
      </c>
      <c r="AX40" s="448">
        <f t="shared" si="56"/>
        <v>0</v>
      </c>
      <c r="AY40" s="445">
        <f t="shared" si="56"/>
        <v>0</v>
      </c>
      <c r="AZ40" s="449">
        <f t="shared" si="20"/>
        <v>0</v>
      </c>
      <c r="BA40" s="455">
        <f>IF(BH40=1,BP40,IF(BH40=2,BP40/2,0))</f>
        <v>0</v>
      </c>
      <c r="BB40" s="452">
        <f>IF(BH40=1,BQ40,IF(BH40=2,BR40,BS40))</f>
        <v>0</v>
      </c>
      <c r="BC40" s="455">
        <f>IF(BF40=2,3.2,IF(BF40=3,3.3,0))</f>
        <v>0</v>
      </c>
      <c r="BD40" s="455">
        <f>IF(BF40=2,0,IF(BF40=3,0,0))</f>
        <v>0</v>
      </c>
      <c r="BE40" s="455">
        <f>IF(BF40=2,7.9,IF(BF40=3,3.1,0))</f>
        <v>0</v>
      </c>
      <c r="BF40" s="456">
        <f>'Abweichende Werte'!T8</f>
        <v>1</v>
      </c>
      <c r="BG40" s="457"/>
      <c r="BH40" s="457">
        <v>1</v>
      </c>
      <c r="BI40" s="456">
        <f>'Abweichende Werte'!C8</f>
        <v>0</v>
      </c>
      <c r="BJ40" s="456" t="str">
        <f t="shared" si="42"/>
        <v>1</v>
      </c>
      <c r="BK40" s="455">
        <f>D40*BI40+E40*BI40</f>
        <v>0</v>
      </c>
      <c r="BL40" s="455">
        <f>'Abweichende Werte'!D8</f>
        <v>0</v>
      </c>
      <c r="BM40" s="451">
        <f>'Abweichende Werte'!E8</f>
        <v>0</v>
      </c>
      <c r="BN40" s="452">
        <f>'Abweichende Werte'!F8</f>
        <v>0</v>
      </c>
      <c r="BO40" s="455">
        <f>'Abweichende Werte'!G8</f>
        <v>0</v>
      </c>
      <c r="BP40" s="452">
        <f>'Abweichende Werte'!H8</f>
        <v>0</v>
      </c>
      <c r="BQ40" s="451">
        <f>'Abweichende Werte'!I8</f>
        <v>0</v>
      </c>
      <c r="BR40" s="451">
        <f>'Abweichende Werte'!J8</f>
        <v>0</v>
      </c>
      <c r="BS40" s="451">
        <f>'Abweichende Werte'!K8</f>
        <v>0</v>
      </c>
      <c r="BT40" s="455">
        <f>IF(BF40=2,15,IF(BF40=3,20,IF(BF40=4,40,IF(BF40=5,45,0))))</f>
        <v>0</v>
      </c>
      <c r="BU40" s="452">
        <f>IF(BF40=2,30,IF(BF40=3,30,IF(BF40=4,40,IF(BF40=5,45,0))))</f>
        <v>0</v>
      </c>
      <c r="BV40" s="458">
        <f>'Abweichende Werte'!R8</f>
        <v>0</v>
      </c>
      <c r="BW40" s="417">
        <f>'Abweichende Werte'!O8</f>
        <v>0</v>
      </c>
      <c r="BX40" s="433">
        <f>'Abweichende Werte'!P8</f>
        <v>0</v>
      </c>
      <c r="BY40" s="417">
        <f>'Abweichende Werte'!Q8</f>
        <v>0</v>
      </c>
      <c r="BZ40" s="438">
        <v>5</v>
      </c>
      <c r="CA40" s="433">
        <v>3</v>
      </c>
      <c r="CB40" s="439">
        <v>17</v>
      </c>
      <c r="CC40" s="449">
        <f>IF(BF40=1,0,IF(BF40=2,1,IF(BF40=3,1,5)))</f>
        <v>0</v>
      </c>
      <c r="CD40" s="449">
        <f>IF(BF40=1,0,IF(BF40=2,2,IF(BF40=3,2,5)))</f>
        <v>0</v>
      </c>
      <c r="CE40" s="448">
        <f>IF(N40=" ",0,CC40*N40)</f>
        <v>0</v>
      </c>
      <c r="CF40" s="449">
        <f>IF(N40=" ",0,CD40*N40)</f>
        <v>0</v>
      </c>
      <c r="CG40" s="445">
        <f t="shared" si="44"/>
        <v>0</v>
      </c>
      <c r="CH40" s="449">
        <f t="shared" si="45"/>
        <v>0</v>
      </c>
      <c r="CI40" s="417"/>
      <c r="CJ40" s="445" t="b">
        <f>AND(BF40&gt;1)</f>
        <v>0</v>
      </c>
      <c r="CK40" s="417"/>
      <c r="CL40" s="455">
        <f>INDEX(Tiere!F$91:F$95,'Berech. Lagerraum flüssig+fest'!$BF40)</f>
        <v>0</v>
      </c>
      <c r="CM40" s="455">
        <f>INDEX(Tiere!G$91:G$95,'Berech. Lagerraum flüssig+fest'!$BF40)</f>
        <v>0</v>
      </c>
      <c r="CN40" s="455">
        <f>INDEX(Tiere!H$91:H$95,'Berech. Lagerraum flüssig+fest'!$BF40)</f>
        <v>0</v>
      </c>
      <c r="CO40" s="196">
        <f t="shared" si="47"/>
        <v>0</v>
      </c>
      <c r="CP40" s="201">
        <f t="shared" si="48"/>
        <v>0</v>
      </c>
      <c r="CQ40" s="27"/>
      <c r="CR40" s="26">
        <f t="shared" si="49"/>
        <v>0</v>
      </c>
      <c r="CS40" s="26">
        <f t="shared" si="50"/>
        <v>0</v>
      </c>
      <c r="CT40" s="26">
        <f t="shared" si="51"/>
        <v>0</v>
      </c>
    </row>
    <row r="41" spans="1:100" ht="15.75" hidden="1" customHeight="1" x14ac:dyDescent="0.25">
      <c r="A41" s="1018" t="str">
        <f>+'Abweichende Werte'!V9</f>
        <v xml:space="preserve"> -- - </v>
      </c>
      <c r="B41" s="1019"/>
      <c r="C41" s="1019"/>
      <c r="D41" s="292"/>
      <c r="E41" s="296"/>
      <c r="F41" s="164"/>
      <c r="G41" s="292"/>
      <c r="H41" s="294"/>
      <c r="I41" s="289" t="str">
        <f t="shared" si="54"/>
        <v xml:space="preserve"> </v>
      </c>
      <c r="J41" s="289" t="str">
        <f t="shared" si="54"/>
        <v xml:space="preserve"> </v>
      </c>
      <c r="K41" s="27"/>
      <c r="L41" s="27"/>
      <c r="M41" s="417">
        <f>IF(D41+E41&gt;=1,IF(BF41=1,1,0),0)</f>
        <v>0</v>
      </c>
      <c r="N41" s="445" t="str">
        <f>IF(J41=" "," ",(J41*(1/BV41)))</f>
        <v xml:space="preserve"> </v>
      </c>
      <c r="O41" s="445"/>
      <c r="P41" s="445">
        <f>IF(CJ41=FALSE,0,IF(U41+V41=0,0,IF(AU41*BO41+AV41*BA41=0,0,AU41*BO41+AV41*BA41)))</f>
        <v>0</v>
      </c>
      <c r="Q41" s="445">
        <f>IF(CJ41=FALSE,0,IF(V41=0,0,IF(AY41+AV41=0,0,IF(BF41=4,AV41*BB41-(D41*(1-G41/100)*BB41)*((1220/1000)/(2*11)),AV41*BB41))))</f>
        <v>0</v>
      </c>
      <c r="R41" s="445">
        <f>IF(CJ41=FALSE,0,IF(U41+V41=0,0,IF(AX41*BO41+AY41*BA41=0,0,AX41*BO41+AY41*BA41)))</f>
        <v>0</v>
      </c>
      <c r="S41" s="445">
        <f>IF(CJ41=FALSE,0,IF(V41=0,0,IF(AY41+AV41=0,0,IF(BF41=4,AY41*BB41-(D41*(1-H41/100)*BB41)*((1220/1000)/(2*11)),AY41*BB41))))</f>
        <v>0</v>
      </c>
      <c r="T41" s="445" t="str">
        <f>IF(S41=0," ",(S41*(1/BV41)))</f>
        <v xml:space="preserve"> </v>
      </c>
      <c r="U41" s="446">
        <f>IF(BO41=0,0,D41)</f>
        <v>0</v>
      </c>
      <c r="V41" s="447">
        <f>IF(BO41=0,D41+E41,E41)</f>
        <v>0</v>
      </c>
      <c r="W41" s="563">
        <f t="shared" si="24"/>
        <v>0</v>
      </c>
      <c r="X41" s="563">
        <f t="shared" si="25"/>
        <v>0</v>
      </c>
      <c r="Y41" s="563">
        <f t="shared" si="26"/>
        <v>0</v>
      </c>
      <c r="Z41" s="563">
        <f t="shared" si="27"/>
        <v>0</v>
      </c>
      <c r="AA41" s="448">
        <f>+(AX41*BL41*(100-BT41)/100)+(BA41*BC41*AY41)</f>
        <v>0</v>
      </c>
      <c r="AB41" s="445">
        <f>IF(BF41=2,AA41,0)</f>
        <v>0</v>
      </c>
      <c r="AC41" s="445">
        <f>AX41*BM41+AY41*BA41*BD41</f>
        <v>0</v>
      </c>
      <c r="AD41" s="449">
        <f>AX41*BN41+AY41*BA41*BE41</f>
        <v>0</v>
      </c>
      <c r="AE41" s="450">
        <f>'Abweichende Werte'!L9</f>
        <v>0</v>
      </c>
      <c r="AF41" s="450">
        <f>'Abweichende Werte'!M9</f>
        <v>0</v>
      </c>
      <c r="AG41" s="445">
        <f t="shared" si="28"/>
        <v>0</v>
      </c>
      <c r="AH41" s="445">
        <f t="shared" si="29"/>
        <v>0</v>
      </c>
      <c r="AI41" s="445">
        <f t="shared" si="30"/>
        <v>0</v>
      </c>
      <c r="AJ41" s="448">
        <f>+(AY41*BL41*(100-BU41)/100)-BA41*AY41*BC41</f>
        <v>0</v>
      </c>
      <c r="AK41" s="445">
        <f>AY41*BM41-AY41*BA41*BD41</f>
        <v>0</v>
      </c>
      <c r="AL41" s="449">
        <f>AY41*BN41-AY41*BA41*BE41</f>
        <v>0</v>
      </c>
      <c r="AM41" s="461">
        <f>'Abweichende Werte'!N9</f>
        <v>0</v>
      </c>
      <c r="AN41" s="451">
        <f t="shared" si="31"/>
        <v>0</v>
      </c>
      <c r="AO41" s="451">
        <f t="shared" si="32"/>
        <v>0</v>
      </c>
      <c r="AP41" s="451">
        <f t="shared" si="33"/>
        <v>0</v>
      </c>
      <c r="AQ41" s="448">
        <f t="shared" si="34"/>
        <v>0</v>
      </c>
      <c r="AR41" s="445">
        <f t="shared" si="35"/>
        <v>0</v>
      </c>
      <c r="AS41" s="449">
        <f t="shared" si="36"/>
        <v>0</v>
      </c>
      <c r="AT41" s="445"/>
      <c r="AU41" s="560">
        <f t="shared" si="55"/>
        <v>0</v>
      </c>
      <c r="AV41" s="561">
        <f t="shared" si="55"/>
        <v>0</v>
      </c>
      <c r="AW41" s="561">
        <f t="shared" si="17"/>
        <v>0</v>
      </c>
      <c r="AX41" s="559">
        <f t="shared" si="56"/>
        <v>0</v>
      </c>
      <c r="AY41" s="562">
        <f t="shared" si="56"/>
        <v>0</v>
      </c>
      <c r="AZ41" s="449">
        <f t="shared" si="20"/>
        <v>0</v>
      </c>
      <c r="BA41" s="455">
        <f>IF(BH41=1,BP41,IF(BH41=2,BP41/2,0))</f>
        <v>0</v>
      </c>
      <c r="BB41" s="452">
        <f>IF(BH41=1,BQ41,IF(BH41=2,BR41,BS41))</f>
        <v>0</v>
      </c>
      <c r="BC41" s="455">
        <f>IF(BF41=2,3.2,IF(BF41=3,3.3,0))</f>
        <v>0</v>
      </c>
      <c r="BD41" s="455">
        <f>IF(BF41=2,0,IF(BF41=3,0,0))</f>
        <v>0</v>
      </c>
      <c r="BE41" s="455">
        <f>IF(BF41=2,7.9,IF(BF41=3,3.1,0))</f>
        <v>0</v>
      </c>
      <c r="BF41" s="456">
        <f>'Abweichende Werte'!T9</f>
        <v>1</v>
      </c>
      <c r="BG41" s="457"/>
      <c r="BH41" s="457">
        <v>1</v>
      </c>
      <c r="BI41" s="456">
        <f>'Abweichende Werte'!C9</f>
        <v>0</v>
      </c>
      <c r="BJ41" s="456" t="str">
        <f t="shared" si="42"/>
        <v>1</v>
      </c>
      <c r="BK41" s="455">
        <f>D41*BI41+E41*BI41</f>
        <v>0</v>
      </c>
      <c r="BL41" s="455">
        <f>'Abweichende Werte'!D9</f>
        <v>0</v>
      </c>
      <c r="BM41" s="451">
        <f>'Abweichende Werte'!E9</f>
        <v>0</v>
      </c>
      <c r="BN41" s="452">
        <f>'Abweichende Werte'!F9</f>
        <v>0</v>
      </c>
      <c r="BO41" s="455">
        <f>'Abweichende Werte'!G9</f>
        <v>0</v>
      </c>
      <c r="BP41" s="452">
        <f>'Abweichende Werte'!H9</f>
        <v>0</v>
      </c>
      <c r="BQ41" s="451">
        <f>'Abweichende Werte'!I9</f>
        <v>0</v>
      </c>
      <c r="BR41" s="451">
        <f>'Abweichende Werte'!J9</f>
        <v>0</v>
      </c>
      <c r="BS41" s="451">
        <f>'Abweichende Werte'!K9</f>
        <v>0</v>
      </c>
      <c r="BT41" s="455">
        <f>IF(BF41=2,15,IF(BF41=3,20,IF(BF41=4,40,IF(BF41=5,45,0))))</f>
        <v>0</v>
      </c>
      <c r="BU41" s="452">
        <f>IF(BF41=2,30,IF(BF41=3,30,IF(BF41=4,40,IF(BF41=5,45,0))))</f>
        <v>0</v>
      </c>
      <c r="BV41" s="458">
        <f>'Abweichende Werte'!R9</f>
        <v>0</v>
      </c>
      <c r="BW41" s="417">
        <f>'Abweichende Werte'!O9</f>
        <v>0</v>
      </c>
      <c r="BX41" s="433">
        <f>'Abweichende Werte'!P9</f>
        <v>0</v>
      </c>
      <c r="BY41" s="417">
        <f>'Abweichende Werte'!Q9</f>
        <v>0</v>
      </c>
      <c r="BZ41" s="438">
        <v>5</v>
      </c>
      <c r="CA41" s="433">
        <v>3</v>
      </c>
      <c r="CB41" s="439">
        <v>17</v>
      </c>
      <c r="CC41" s="449">
        <f>IF(BF41=1,0,IF(BF41=2,1,IF(BF41=3,1,5)))</f>
        <v>0</v>
      </c>
      <c r="CD41" s="449">
        <f>IF(BF41=1,0,IF(BF41=2,2,IF(BF41=3,2,5)))</f>
        <v>0</v>
      </c>
      <c r="CE41" s="448">
        <f>IF(N41=" ",0,CC41*N41)</f>
        <v>0</v>
      </c>
      <c r="CF41" s="449">
        <f>IF(N41=" ",0,CD41*N41)</f>
        <v>0</v>
      </c>
      <c r="CG41" s="445">
        <f t="shared" si="44"/>
        <v>0</v>
      </c>
      <c r="CH41" s="449">
        <f t="shared" si="45"/>
        <v>0</v>
      </c>
      <c r="CI41" s="417"/>
      <c r="CJ41" s="445" t="b">
        <f>AND(BF41&gt;1)</f>
        <v>0</v>
      </c>
      <c r="CK41" s="417"/>
      <c r="CL41" s="455">
        <f>INDEX(Tiere!F$91:F$95,'Berech. Lagerraum flüssig+fest'!$BF41)</f>
        <v>0</v>
      </c>
      <c r="CM41" s="455">
        <f>INDEX(Tiere!G$91:G$95,'Berech. Lagerraum flüssig+fest'!$BF41)</f>
        <v>0</v>
      </c>
      <c r="CN41" s="455">
        <f>INDEX(Tiere!H$91:H$95,'Berech. Lagerraum flüssig+fest'!$BF41)</f>
        <v>0</v>
      </c>
      <c r="CO41" s="196">
        <f t="shared" si="47"/>
        <v>0</v>
      </c>
      <c r="CP41" s="201">
        <f t="shared" si="48"/>
        <v>0</v>
      </c>
      <c r="CQ41" s="27"/>
      <c r="CR41" s="26">
        <f t="shared" si="49"/>
        <v>0</v>
      </c>
      <c r="CS41" s="26">
        <f t="shared" si="50"/>
        <v>0</v>
      </c>
      <c r="CT41" s="26">
        <f t="shared" si="51"/>
        <v>0</v>
      </c>
    </row>
    <row r="42" spans="1:100" ht="15.75" customHeight="1" x14ac:dyDescent="0.25">
      <c r="A42" s="545" t="s">
        <v>246</v>
      </c>
      <c r="B42" s="546"/>
      <c r="C42" s="546"/>
      <c r="D42" s="547"/>
      <c r="E42" s="547"/>
      <c r="F42" s="547"/>
      <c r="G42" s="977"/>
      <c r="H42" s="978"/>
      <c r="I42" s="280"/>
      <c r="J42" s="281"/>
      <c r="K42" s="27"/>
      <c r="L42" s="395" t="s">
        <v>255</v>
      </c>
      <c r="M42" s="427" t="s">
        <v>212</v>
      </c>
      <c r="N42" s="417" t="s">
        <v>222</v>
      </c>
      <c r="O42" s="417"/>
      <c r="P42" s="417"/>
      <c r="Q42" s="417"/>
      <c r="R42" s="417"/>
      <c r="S42" s="417"/>
      <c r="T42" s="417"/>
      <c r="U42" s="417"/>
      <c r="V42" s="417"/>
      <c r="W42" s="563"/>
      <c r="X42" s="563"/>
      <c r="Y42" s="563"/>
      <c r="Z42" s="563"/>
      <c r="AA42" s="438"/>
      <c r="AB42" s="417"/>
      <c r="AC42" s="417"/>
      <c r="AD42" s="439"/>
      <c r="AE42" s="430"/>
      <c r="AF42" s="430"/>
      <c r="AG42" s="417"/>
      <c r="AH42" s="417"/>
      <c r="AI42" s="417"/>
      <c r="AJ42" s="438"/>
      <c r="AK42" s="417"/>
      <c r="AL42" s="439"/>
      <c r="AM42" s="430"/>
      <c r="AN42" s="417"/>
      <c r="AO42" s="417"/>
      <c r="AP42" s="417"/>
      <c r="AQ42" s="438"/>
      <c r="AR42" s="417"/>
      <c r="AS42" s="439"/>
      <c r="AT42" s="417"/>
      <c r="AU42" s="417"/>
      <c r="AV42" s="417"/>
      <c r="AW42" s="417"/>
      <c r="AX42" s="417"/>
      <c r="AY42" s="417"/>
      <c r="AZ42" s="417"/>
      <c r="BA42" s="417"/>
      <c r="BB42" s="417"/>
      <c r="BC42" s="417"/>
      <c r="BD42" s="417"/>
      <c r="BE42" s="417"/>
      <c r="BF42" s="417"/>
      <c r="BG42" s="417">
        <f>IF(OR(BG25=2,BG26=2,BG27=2,BG28=2,BG29=2,BG30=2,BG31=2,BG32=2,BG33=2,BG34=2,BG35=2,BG36=2,),2,1)</f>
        <v>1</v>
      </c>
      <c r="BH42" s="445"/>
      <c r="BI42" s="445"/>
      <c r="BJ42" s="445"/>
      <c r="BK42" s="463"/>
      <c r="BL42" s="417"/>
      <c r="BM42" s="417"/>
      <c r="BN42" s="417"/>
      <c r="BO42" s="451"/>
      <c r="BP42" s="451"/>
      <c r="BQ42" s="451"/>
      <c r="BR42" s="451"/>
      <c r="BS42" s="451"/>
      <c r="BT42" s="417"/>
      <c r="BU42" s="417"/>
      <c r="BV42" s="462"/>
      <c r="BW42" s="417"/>
      <c r="BX42" s="417"/>
      <c r="BY42" s="417"/>
      <c r="BZ42" s="417"/>
      <c r="CA42" s="417"/>
      <c r="CB42" s="417"/>
      <c r="CC42" s="464"/>
      <c r="CD42" s="464"/>
      <c r="CE42" s="465"/>
      <c r="CF42" s="466"/>
      <c r="CG42" s="417"/>
      <c r="CH42" s="439"/>
      <c r="CI42" s="417"/>
      <c r="CJ42" s="417"/>
      <c r="CK42" s="417"/>
      <c r="CL42" s="417"/>
      <c r="CM42" s="27"/>
      <c r="CN42" s="27"/>
      <c r="CP42" s="27"/>
      <c r="CQ42" s="27"/>
      <c r="CR42" s="26">
        <f>SUM(CR25:CR41)</f>
        <v>0</v>
      </c>
      <c r="CS42" s="26">
        <f>SUM(CS25:CS41)</f>
        <v>0</v>
      </c>
      <c r="CT42" s="26">
        <f>SUM(CT25:CT41)</f>
        <v>0</v>
      </c>
      <c r="CU42" s="27"/>
      <c r="CV42" s="27"/>
    </row>
    <row r="43" spans="1:100" ht="15.75" customHeight="1" x14ac:dyDescent="0.25">
      <c r="A43" s="981" t="s">
        <v>258</v>
      </c>
      <c r="B43" s="982"/>
      <c r="C43" s="982"/>
      <c r="D43" s="982"/>
      <c r="E43" s="982"/>
      <c r="F43" s="983"/>
      <c r="G43" s="276"/>
      <c r="H43" s="277" t="s">
        <v>29</v>
      </c>
      <c r="I43" s="401" t="str">
        <f>IF(G43&gt;0.1,IF($M$14&lt;1,"Fehler",L43)," ")</f>
        <v xml:space="preserve"> </v>
      </c>
      <c r="J43" s="252"/>
      <c r="K43" s="27"/>
      <c r="L43" s="396" t="str">
        <f>IF(($M$14*G43*0.7)/1000=0," ",($M$14*G43*0.7)/1000)</f>
        <v xml:space="preserve"> </v>
      </c>
      <c r="M43" s="439">
        <f>+M44+M45+M47</f>
        <v>0</v>
      </c>
      <c r="N43" s="417">
        <f>IF(L43=" ",0,L43)</f>
        <v>0</v>
      </c>
      <c r="O43" s="417"/>
      <c r="P43" s="417"/>
      <c r="Q43" s="417"/>
      <c r="R43" s="417"/>
      <c r="S43" s="417"/>
      <c r="T43" s="417"/>
      <c r="U43" s="417"/>
      <c r="V43" s="417"/>
      <c r="W43" s="563"/>
      <c r="X43" s="563"/>
      <c r="Y43" s="563"/>
      <c r="Z43" s="563"/>
      <c r="AA43" s="438"/>
      <c r="AB43" s="417"/>
      <c r="AC43" s="417"/>
      <c r="AD43" s="439"/>
      <c r="AE43" s="430"/>
      <c r="AF43" s="430"/>
      <c r="AG43" s="417"/>
      <c r="AH43" s="417"/>
      <c r="AI43" s="417"/>
      <c r="AJ43" s="438"/>
      <c r="AK43" s="417"/>
      <c r="AL43" s="439"/>
      <c r="AM43" s="430"/>
      <c r="AN43" s="417"/>
      <c r="AO43" s="417"/>
      <c r="AP43" s="417"/>
      <c r="AQ43" s="438"/>
      <c r="AR43" s="417"/>
      <c r="AS43" s="439"/>
      <c r="AT43" s="417"/>
      <c r="AU43" s="417"/>
      <c r="AV43" s="417"/>
      <c r="AW43" s="417"/>
      <c r="AX43" s="417"/>
      <c r="AY43" s="417"/>
      <c r="AZ43" s="417"/>
      <c r="BA43" s="417"/>
      <c r="BB43" s="417"/>
      <c r="BC43" s="418"/>
      <c r="BD43" s="418"/>
      <c r="BE43" s="418"/>
      <c r="BF43" s="418"/>
      <c r="BG43" s="417"/>
      <c r="BH43" s="417"/>
      <c r="BI43" s="417"/>
      <c r="BJ43" s="417"/>
      <c r="BK43" s="433"/>
      <c r="BL43" s="417"/>
      <c r="BM43" s="417"/>
      <c r="BN43" s="417"/>
      <c r="BO43" s="417"/>
      <c r="BP43" s="417"/>
      <c r="BQ43" s="417"/>
      <c r="BR43" s="417"/>
      <c r="BS43" s="417"/>
      <c r="BT43" s="417"/>
      <c r="BU43" s="417"/>
      <c r="BV43" s="417"/>
      <c r="BW43" s="417"/>
      <c r="BX43" s="417"/>
      <c r="BY43" s="417"/>
      <c r="BZ43" s="417"/>
      <c r="CA43" s="417"/>
      <c r="CB43" s="417"/>
      <c r="CC43" s="464"/>
      <c r="CD43" s="464"/>
      <c r="CE43" s="465"/>
      <c r="CF43" s="466"/>
      <c r="CG43" s="467">
        <f>SUM(CG25:CG41)</f>
        <v>0</v>
      </c>
      <c r="CH43" s="468">
        <f>SUM(CH25:CH41)</f>
        <v>0</v>
      </c>
      <c r="CI43" s="417"/>
      <c r="CJ43" s="417"/>
      <c r="CK43" s="417"/>
      <c r="CL43" s="417"/>
      <c r="CM43" s="27"/>
      <c r="CN43" s="27"/>
      <c r="CO43" s="26">
        <f>SUM(CO25:CO42)</f>
        <v>0</v>
      </c>
      <c r="CP43" s="26">
        <f>SUM(CP25:CP42)</f>
        <v>0</v>
      </c>
      <c r="CQ43" s="27"/>
      <c r="CR43" s="27"/>
      <c r="CS43" s="27"/>
      <c r="CT43" s="27"/>
      <c r="CU43" s="27"/>
      <c r="CV43" s="27"/>
    </row>
    <row r="44" spans="1:100" s="204" customFormat="1" ht="15.75" customHeight="1" thickBot="1" x14ac:dyDescent="0.3">
      <c r="A44" s="981" t="s">
        <v>259</v>
      </c>
      <c r="B44" s="982"/>
      <c r="C44" s="982"/>
      <c r="D44" s="982"/>
      <c r="E44" s="982"/>
      <c r="F44" s="983"/>
      <c r="G44" s="278"/>
      <c r="H44" s="279" t="s">
        <v>29</v>
      </c>
      <c r="I44" s="402" t="str">
        <f>IF(G44&gt;0.1,IF($M$14&lt;1,"Fehler",L44)," ")</f>
        <v xml:space="preserve"> </v>
      </c>
      <c r="J44" s="252"/>
      <c r="K44" s="28"/>
      <c r="L44" s="396" t="str">
        <f>IF(($M$14*G44*0.85)/1000=0," ",($M$14*G44*0.85)/1000)</f>
        <v xml:space="preserve"> </v>
      </c>
      <c r="M44" s="469">
        <f>IF(L44=" ",0,L44)</f>
        <v>0</v>
      </c>
      <c r="N44" s="417">
        <f>IF(L44=" ",0,L44)</f>
        <v>0</v>
      </c>
      <c r="O44" s="420"/>
      <c r="P44" s="420"/>
      <c r="Q44" s="420"/>
      <c r="R44" s="420"/>
      <c r="S44" s="420"/>
      <c r="T44" s="420"/>
      <c r="U44" s="420"/>
      <c r="V44" s="420"/>
      <c r="W44" s="564"/>
      <c r="X44" s="564"/>
      <c r="Y44" s="564"/>
      <c r="Z44" s="564"/>
      <c r="AA44" s="470"/>
      <c r="AB44" s="420"/>
      <c r="AC44" s="420"/>
      <c r="AD44" s="469"/>
      <c r="AE44" s="471"/>
      <c r="AF44" s="471"/>
      <c r="AG44" s="420"/>
      <c r="AH44" s="420"/>
      <c r="AI44" s="420"/>
      <c r="AJ44" s="470"/>
      <c r="AK44" s="420"/>
      <c r="AL44" s="469"/>
      <c r="AM44" s="471"/>
      <c r="AN44" s="420"/>
      <c r="AO44" s="420"/>
      <c r="AP44" s="420"/>
      <c r="AQ44" s="470"/>
      <c r="AR44" s="420"/>
      <c r="AS44" s="469"/>
      <c r="AT44" s="420"/>
      <c r="AU44" s="420"/>
      <c r="AV44" s="420"/>
      <c r="AW44" s="420"/>
      <c r="AX44" s="420"/>
      <c r="AY44" s="420"/>
      <c r="AZ44" s="420"/>
      <c r="BA44" s="420"/>
      <c r="BB44" s="420"/>
      <c r="BC44" s="420"/>
      <c r="BD44" s="420"/>
      <c r="BE44" s="420"/>
      <c r="BF44" s="420"/>
      <c r="BG44" s="420"/>
      <c r="BH44" s="420"/>
      <c r="BI44" s="420"/>
      <c r="BJ44" s="420"/>
      <c r="BK44" s="472"/>
      <c r="BL44" s="417"/>
      <c r="BM44" s="417"/>
      <c r="BN44" s="417"/>
      <c r="BO44" s="417"/>
      <c r="BP44" s="417"/>
      <c r="BQ44" s="417"/>
      <c r="BR44" s="417"/>
      <c r="BS44" s="417"/>
      <c r="BT44" s="417"/>
      <c r="BU44" s="420"/>
      <c r="BV44" s="420"/>
      <c r="BW44" s="420"/>
      <c r="BX44" s="420"/>
      <c r="BY44" s="420"/>
      <c r="BZ44" s="420"/>
      <c r="CA44" s="420"/>
      <c r="CB44" s="420"/>
      <c r="CC44" s="473"/>
      <c r="CD44" s="473"/>
      <c r="CE44" s="465"/>
      <c r="CF44" s="466"/>
      <c r="CG44" s="474" t="str">
        <f>IF(CG43=0,"1",SUM(CG25:CG41))</f>
        <v>1</v>
      </c>
      <c r="CH44" s="475" t="str">
        <f>IF(CH43=0,"1",SUM(CH25:CH41))</f>
        <v>1</v>
      </c>
      <c r="CI44" s="420"/>
      <c r="CJ44" s="420"/>
      <c r="CK44" s="420"/>
      <c r="CL44" s="420"/>
      <c r="CM44" s="202"/>
      <c r="CN44" s="202"/>
      <c r="CO44" s="203"/>
      <c r="CP44" s="202"/>
      <c r="CQ44" s="202"/>
      <c r="CR44" s="202"/>
      <c r="CS44" s="202"/>
      <c r="CT44" s="202"/>
      <c r="CU44" s="202"/>
      <c r="CV44" s="202"/>
    </row>
    <row r="45" spans="1:100" s="204" customFormat="1" ht="15.75" customHeight="1" x14ac:dyDescent="0.25">
      <c r="A45" s="981" t="s">
        <v>260</v>
      </c>
      <c r="B45" s="982"/>
      <c r="C45" s="982"/>
      <c r="D45" s="982"/>
      <c r="E45" s="982"/>
      <c r="F45" s="983"/>
      <c r="G45" s="537"/>
      <c r="H45" s="538" t="s">
        <v>29</v>
      </c>
      <c r="I45" s="403" t="str">
        <f>IF(G45&gt;0.1,IF($M$14&lt;1,"Fehler",L45)," ")</f>
        <v xml:space="preserve"> </v>
      </c>
      <c r="J45" s="252"/>
      <c r="K45" s="28"/>
      <c r="L45" s="396" t="str">
        <f>IF(($M$14*G45*0.85)/1000=0," ",($M$14*G45*0.85)/1000)</f>
        <v xml:space="preserve"> </v>
      </c>
      <c r="M45" s="469">
        <f>IF(L45=" ",0,L45)</f>
        <v>0</v>
      </c>
      <c r="N45" s="417">
        <f>IF(L45=" ",0,L45)</f>
        <v>0</v>
      </c>
      <c r="O45" s="420"/>
      <c r="P45" s="420"/>
      <c r="Q45" s="420"/>
      <c r="R45" s="420"/>
      <c r="S45" s="420"/>
      <c r="T45" s="420"/>
      <c r="U45" s="420"/>
      <c r="V45" s="420"/>
      <c r="W45" s="564"/>
      <c r="X45" s="564"/>
      <c r="Y45" s="564"/>
      <c r="Z45" s="564"/>
      <c r="AA45" s="470"/>
      <c r="AB45" s="420"/>
      <c r="AC45" s="420"/>
      <c r="AD45" s="469"/>
      <c r="AE45" s="471"/>
      <c r="AF45" s="471"/>
      <c r="AG45" s="420"/>
      <c r="AH45" s="420"/>
      <c r="AI45" s="420"/>
      <c r="AJ45" s="470"/>
      <c r="AK45" s="420"/>
      <c r="AL45" s="469"/>
      <c r="AM45" s="471"/>
      <c r="AN45" s="420"/>
      <c r="AO45" s="420"/>
      <c r="AP45" s="420"/>
      <c r="AQ45" s="470"/>
      <c r="AR45" s="420"/>
      <c r="AS45" s="469"/>
      <c r="AT45" s="420"/>
      <c r="AU45" s="420"/>
      <c r="AV45" s="420"/>
      <c r="AW45" s="420"/>
      <c r="AX45" s="420"/>
      <c r="AY45" s="420"/>
      <c r="AZ45" s="420"/>
      <c r="BA45" s="420"/>
      <c r="BB45" s="420"/>
      <c r="BC45" s="420"/>
      <c r="BD45" s="420"/>
      <c r="BE45" s="420"/>
      <c r="BF45" s="420"/>
      <c r="BG45" s="420"/>
      <c r="BH45" s="420">
        <f>SUM(G43:G45)</f>
        <v>0</v>
      </c>
      <c r="BI45" s="420"/>
      <c r="BJ45" s="420"/>
      <c r="BK45" s="472"/>
      <c r="BL45" s="420"/>
      <c r="BM45" s="420"/>
      <c r="BN45" s="420"/>
      <c r="BO45" s="420"/>
      <c r="BP45" s="420"/>
      <c r="BQ45" s="420"/>
      <c r="BR45" s="420"/>
      <c r="BS45" s="420"/>
      <c r="BT45" s="420"/>
      <c r="BU45" s="420"/>
      <c r="BV45" s="420"/>
      <c r="BW45" s="420"/>
      <c r="BX45" s="420"/>
      <c r="BY45" s="420"/>
      <c r="BZ45" s="420"/>
      <c r="CA45" s="420"/>
      <c r="CB45" s="420"/>
      <c r="CC45" s="473"/>
      <c r="CD45" s="473"/>
      <c r="CE45" s="465"/>
      <c r="CF45" s="466"/>
      <c r="CG45" s="420"/>
      <c r="CH45" s="420"/>
      <c r="CI45" s="420"/>
      <c r="CJ45" s="420"/>
      <c r="CK45" s="420"/>
      <c r="CL45" s="420"/>
      <c r="CM45" s="202"/>
      <c r="CN45" s="202"/>
      <c r="CO45" s="203"/>
      <c r="CP45" s="202"/>
      <c r="CQ45" s="202"/>
      <c r="CR45" s="202"/>
      <c r="CS45" s="202"/>
      <c r="CT45" s="202"/>
      <c r="CU45" s="202"/>
      <c r="CV45" s="202"/>
    </row>
    <row r="46" spans="1:100" s="204" customFormat="1" ht="15.75" customHeight="1" x14ac:dyDescent="0.25">
      <c r="A46" s="926" t="s">
        <v>247</v>
      </c>
      <c r="B46" s="927"/>
      <c r="C46" s="927"/>
      <c r="D46" s="927"/>
      <c r="E46" s="927"/>
      <c r="F46" s="974"/>
      <c r="G46" s="539"/>
      <c r="H46" s="540" t="s">
        <v>183</v>
      </c>
      <c r="I46" s="363" t="str">
        <f>+IF(G46&gt;0.1,G46*33.2," ")</f>
        <v xml:space="preserve"> </v>
      </c>
      <c r="J46" s="252"/>
      <c r="K46" s="28"/>
      <c r="L46" s="202"/>
      <c r="M46" s="472"/>
      <c r="N46" s="417">
        <f>IF(I46=" ",0,I46)</f>
        <v>0</v>
      </c>
      <c r="O46" s="420"/>
      <c r="P46" s="420"/>
      <c r="Q46" s="420"/>
      <c r="R46" s="420"/>
      <c r="S46" s="420"/>
      <c r="T46" s="420"/>
      <c r="U46" s="420"/>
      <c r="V46" s="420"/>
      <c r="W46" s="564"/>
      <c r="X46" s="564"/>
      <c r="Y46" s="564"/>
      <c r="Z46" s="564"/>
      <c r="AA46" s="470"/>
      <c r="AB46" s="420"/>
      <c r="AC46" s="420"/>
      <c r="AD46" s="469"/>
      <c r="AE46" s="471"/>
      <c r="AF46" s="471"/>
      <c r="AG46" s="420"/>
      <c r="AH46" s="420"/>
      <c r="AI46" s="420"/>
      <c r="AJ46" s="470"/>
      <c r="AK46" s="420"/>
      <c r="AL46" s="469"/>
      <c r="AM46" s="471"/>
      <c r="AN46" s="420"/>
      <c r="AO46" s="420"/>
      <c r="AP46" s="420"/>
      <c r="AQ46" s="470"/>
      <c r="AR46" s="420"/>
      <c r="AS46" s="469"/>
      <c r="AT46" s="420"/>
      <c r="AU46" s="420"/>
      <c r="AV46" s="420"/>
      <c r="AW46" s="420"/>
      <c r="AX46" s="420"/>
      <c r="AY46" s="420"/>
      <c r="AZ46" s="420"/>
      <c r="BA46" s="420"/>
      <c r="BB46" s="420"/>
      <c r="BC46" s="420"/>
      <c r="BD46" s="420"/>
      <c r="BE46" s="420"/>
      <c r="BF46" s="420"/>
      <c r="BG46" s="420"/>
      <c r="BH46" s="420"/>
      <c r="BI46" s="420"/>
      <c r="BJ46" s="420"/>
      <c r="BK46" s="472"/>
      <c r="BL46" s="420"/>
      <c r="BM46" s="420"/>
      <c r="BN46" s="420"/>
      <c r="BO46" s="420"/>
      <c r="BP46" s="420"/>
      <c r="BQ46" s="420"/>
      <c r="BR46" s="420"/>
      <c r="BS46" s="420"/>
      <c r="BT46" s="420"/>
      <c r="BU46" s="420"/>
      <c r="BV46" s="420"/>
      <c r="BW46" s="420"/>
      <c r="BX46" s="420"/>
      <c r="BY46" s="420"/>
      <c r="BZ46" s="420"/>
      <c r="CA46" s="420"/>
      <c r="CB46" s="420"/>
      <c r="CC46" s="473"/>
      <c r="CD46" s="473"/>
      <c r="CE46" s="465"/>
      <c r="CF46" s="466"/>
      <c r="CG46" s="420"/>
      <c r="CH46" s="420"/>
      <c r="CI46" s="420"/>
      <c r="CJ46" s="420"/>
      <c r="CK46" s="420"/>
      <c r="CL46" s="420"/>
      <c r="CM46" s="202"/>
      <c r="CN46" s="202"/>
      <c r="CO46" s="202"/>
      <c r="CP46" s="202"/>
      <c r="CQ46" s="202"/>
      <c r="CR46" s="202"/>
      <c r="CS46" s="202"/>
      <c r="CT46" s="202"/>
      <c r="CU46" s="202"/>
      <c r="CV46" s="202"/>
    </row>
    <row r="47" spans="1:100" s="204" customFormat="1" ht="15.75" customHeight="1" x14ac:dyDescent="0.25">
      <c r="A47" s="926" t="s">
        <v>256</v>
      </c>
      <c r="B47" s="927"/>
      <c r="C47" s="927"/>
      <c r="D47" s="927"/>
      <c r="E47" s="927"/>
      <c r="F47" s="974"/>
      <c r="G47" s="544"/>
      <c r="H47" s="542" t="s">
        <v>1</v>
      </c>
      <c r="I47" s="536" t="str">
        <f>IF(G47&gt;0.1,G47," ")</f>
        <v xml:space="preserve"> </v>
      </c>
      <c r="J47" s="252"/>
      <c r="K47" s="28"/>
      <c r="L47" s="202"/>
      <c r="M47" s="476">
        <f>IF(I47=" ",0,I47)</f>
        <v>0</v>
      </c>
      <c r="N47" s="417">
        <f>IF(I47=" ",0,I47)</f>
        <v>0</v>
      </c>
      <c r="O47" s="420"/>
      <c r="P47" s="420"/>
      <c r="Q47" s="420"/>
      <c r="R47" s="420"/>
      <c r="S47" s="420"/>
      <c r="T47" s="420"/>
      <c r="U47" s="420"/>
      <c r="V47" s="420"/>
      <c r="W47" s="564"/>
      <c r="X47" s="564"/>
      <c r="Y47" s="564"/>
      <c r="Z47" s="564"/>
      <c r="AA47" s="470"/>
      <c r="AB47" s="420"/>
      <c r="AC47" s="420"/>
      <c r="AD47" s="469"/>
      <c r="AE47" s="471"/>
      <c r="AF47" s="471"/>
      <c r="AG47" s="420"/>
      <c r="AH47" s="420"/>
      <c r="AI47" s="420"/>
      <c r="AJ47" s="470"/>
      <c r="AK47" s="420"/>
      <c r="AL47" s="469"/>
      <c r="AM47" s="471"/>
      <c r="AN47" s="420"/>
      <c r="AO47" s="420"/>
      <c r="AP47" s="420"/>
      <c r="AQ47" s="470"/>
      <c r="AR47" s="420"/>
      <c r="AS47" s="469"/>
      <c r="AT47" s="420"/>
      <c r="AU47" s="420"/>
      <c r="AV47" s="420"/>
      <c r="AW47" s="420"/>
      <c r="AX47" s="420"/>
      <c r="AY47" s="420"/>
      <c r="AZ47" s="420"/>
      <c r="BA47" s="420"/>
      <c r="BB47" s="420"/>
      <c r="BC47" s="420"/>
      <c r="BD47" s="420"/>
      <c r="BE47" s="420"/>
      <c r="BF47" s="420"/>
      <c r="BG47" s="420"/>
      <c r="BH47" s="420"/>
      <c r="BI47" s="420"/>
      <c r="BJ47" s="420"/>
      <c r="BK47" s="472"/>
      <c r="BL47" s="420"/>
      <c r="BM47" s="420"/>
      <c r="BN47" s="420"/>
      <c r="BO47" s="420"/>
      <c r="BP47" s="420"/>
      <c r="BQ47" s="420"/>
      <c r="BR47" s="420"/>
      <c r="BS47" s="420"/>
      <c r="BT47" s="420"/>
      <c r="BU47" s="420"/>
      <c r="BV47" s="420"/>
      <c r="BW47" s="420"/>
      <c r="BX47" s="420"/>
      <c r="BY47" s="420"/>
      <c r="BZ47" s="420"/>
      <c r="CA47" s="420"/>
      <c r="CB47" s="420"/>
      <c r="CC47" s="473"/>
      <c r="CD47" s="473"/>
      <c r="CE47" s="465"/>
      <c r="CF47" s="466"/>
      <c r="CG47" s="420"/>
      <c r="CH47" s="420"/>
      <c r="CI47" s="420"/>
      <c r="CJ47" s="420"/>
      <c r="CK47" s="420"/>
      <c r="CL47" s="420"/>
      <c r="CM47" s="202"/>
      <c r="CN47" s="202"/>
      <c r="CO47" s="203"/>
      <c r="CP47" s="202"/>
      <c r="CQ47" s="202"/>
      <c r="CR47" s="202"/>
      <c r="CS47" s="202"/>
      <c r="CT47" s="202"/>
      <c r="CU47" s="202"/>
      <c r="CV47" s="202"/>
    </row>
    <row r="48" spans="1:100" s="204" customFormat="1" ht="15.75" customHeight="1" thickBot="1" x14ac:dyDescent="0.3">
      <c r="A48" s="4" t="s">
        <v>257</v>
      </c>
      <c r="B48" s="5"/>
      <c r="C48" s="5"/>
      <c r="D48" s="9"/>
      <c r="E48" s="9"/>
      <c r="F48" s="9"/>
      <c r="G48" s="543"/>
      <c r="H48" s="541" t="s">
        <v>1</v>
      </c>
      <c r="I48" s="536" t="str">
        <f>IF(G48&gt;0.1,G48," ")</f>
        <v xml:space="preserve"> </v>
      </c>
      <c r="J48" s="273"/>
      <c r="K48" s="28"/>
      <c r="L48" s="202"/>
      <c r="M48" s="420"/>
      <c r="N48" s="417">
        <f>IF(I48=" ",0,I48)</f>
        <v>0</v>
      </c>
      <c r="O48" s="420"/>
      <c r="P48" s="420"/>
      <c r="Q48" s="420"/>
      <c r="R48" s="420"/>
      <c r="S48" s="420"/>
      <c r="T48" s="420"/>
      <c r="U48" s="420"/>
      <c r="V48" s="420"/>
      <c r="W48" s="564"/>
      <c r="X48" s="564"/>
      <c r="Y48" s="564"/>
      <c r="Z48" s="564"/>
      <c r="AA48" s="470"/>
      <c r="AB48" s="420"/>
      <c r="AC48" s="420"/>
      <c r="AD48" s="469"/>
      <c r="AE48" s="471"/>
      <c r="AF48" s="471"/>
      <c r="AG48" s="420"/>
      <c r="AH48" s="420"/>
      <c r="AI48" s="420"/>
      <c r="AJ48" s="470"/>
      <c r="AK48" s="420"/>
      <c r="AL48" s="469"/>
      <c r="AM48" s="471"/>
      <c r="AN48" s="420"/>
      <c r="AO48" s="420"/>
      <c r="AP48" s="420"/>
      <c r="AQ48" s="470"/>
      <c r="AR48" s="420"/>
      <c r="AS48" s="469"/>
      <c r="AT48" s="420"/>
      <c r="AU48" s="420"/>
      <c r="AV48" s="420"/>
      <c r="AW48" s="420"/>
      <c r="AX48" s="420"/>
      <c r="AY48" s="420"/>
      <c r="AZ48" s="420"/>
      <c r="BA48" s="420"/>
      <c r="BB48" s="420"/>
      <c r="BC48" s="420"/>
      <c r="BD48" s="420"/>
      <c r="BE48" s="420"/>
      <c r="BF48" s="420"/>
      <c r="BG48" s="420"/>
      <c r="BH48" s="420"/>
      <c r="BI48" s="420"/>
      <c r="BJ48" s="420"/>
      <c r="BK48" s="472"/>
      <c r="BL48" s="420"/>
      <c r="BM48" s="420"/>
      <c r="BN48" s="420"/>
      <c r="BO48" s="420"/>
      <c r="BP48" s="420"/>
      <c r="BQ48" s="420"/>
      <c r="BR48" s="420"/>
      <c r="BS48" s="420"/>
      <c r="BT48" s="420"/>
      <c r="BU48" s="420"/>
      <c r="BV48" s="420"/>
      <c r="BW48" s="420"/>
      <c r="BX48" s="420"/>
      <c r="BY48" s="420"/>
      <c r="BZ48" s="420"/>
      <c r="CA48" s="420"/>
      <c r="CB48" s="420"/>
      <c r="CC48" s="473"/>
      <c r="CD48" s="473"/>
      <c r="CE48" s="465"/>
      <c r="CF48" s="466"/>
      <c r="CG48" s="420"/>
      <c r="CH48" s="420"/>
      <c r="CI48" s="420"/>
      <c r="CJ48" s="420"/>
      <c r="CK48" s="420"/>
      <c r="CL48" s="420"/>
      <c r="CM48" s="202"/>
      <c r="CN48" s="202"/>
      <c r="CO48" s="202"/>
      <c r="CP48" s="202"/>
      <c r="CQ48" s="202"/>
      <c r="CR48" s="202"/>
      <c r="CS48" s="202"/>
      <c r="CT48" s="202"/>
      <c r="CU48" s="202"/>
      <c r="CV48" s="202"/>
    </row>
    <row r="49" spans="1:100" s="204" customFormat="1" ht="21" customHeight="1" thickBot="1" x14ac:dyDescent="0.3">
      <c r="A49" s="2" t="s">
        <v>315</v>
      </c>
      <c r="B49" s="7"/>
      <c r="C49" s="7"/>
      <c r="D49" s="8"/>
      <c r="E49" s="8"/>
      <c r="F49" s="8"/>
      <c r="G49" s="8"/>
      <c r="H49" s="31"/>
      <c r="I49" s="149"/>
      <c r="J49" s="364" t="str">
        <f>IF(N49=0," ",N49)</f>
        <v xml:space="preserve"> </v>
      </c>
      <c r="K49" s="29"/>
      <c r="L49" s="203"/>
      <c r="M49" s="477">
        <f>SUM(I25:I48)</f>
        <v>0</v>
      </c>
      <c r="N49" s="477">
        <f>SUM(J25:J48)</f>
        <v>0</v>
      </c>
      <c r="O49" s="478"/>
      <c r="P49" s="478"/>
      <c r="Q49" s="478"/>
      <c r="R49" s="478"/>
      <c r="S49" s="478"/>
      <c r="T49" s="478"/>
      <c r="U49" s="478"/>
      <c r="V49" s="478"/>
      <c r="W49" s="479">
        <f t="shared" ref="W49:AD49" si="57">SUM(W25:W48)</f>
        <v>0</v>
      </c>
      <c r="X49" s="479">
        <f t="shared" si="57"/>
        <v>0</v>
      </c>
      <c r="Y49" s="480">
        <f t="shared" si="57"/>
        <v>0</v>
      </c>
      <c r="Z49" s="481">
        <f t="shared" si="57"/>
        <v>0</v>
      </c>
      <c r="AA49" s="479">
        <f t="shared" si="57"/>
        <v>0</v>
      </c>
      <c r="AB49" s="479">
        <f t="shared" si="57"/>
        <v>0</v>
      </c>
      <c r="AC49" s="480">
        <f t="shared" si="57"/>
        <v>0</v>
      </c>
      <c r="AD49" s="481">
        <f t="shared" si="57"/>
        <v>0</v>
      </c>
      <c r="AE49" s="482"/>
      <c r="AF49" s="482"/>
      <c r="AG49" s="479">
        <f t="shared" ref="AG49:AL49" si="58">SUM(AG25:AG48)</f>
        <v>0</v>
      </c>
      <c r="AH49" s="480">
        <f t="shared" si="58"/>
        <v>0</v>
      </c>
      <c r="AI49" s="481">
        <f t="shared" si="58"/>
        <v>0</v>
      </c>
      <c r="AJ49" s="479">
        <f t="shared" si="58"/>
        <v>0</v>
      </c>
      <c r="AK49" s="480">
        <f t="shared" si="58"/>
        <v>0</v>
      </c>
      <c r="AL49" s="481">
        <f t="shared" si="58"/>
        <v>0</v>
      </c>
      <c r="AM49" s="482"/>
      <c r="AN49" s="479">
        <f t="shared" ref="AN49:AS49" si="59">SUM(AN25:AN48)</f>
        <v>0</v>
      </c>
      <c r="AO49" s="479">
        <f t="shared" si="59"/>
        <v>0</v>
      </c>
      <c r="AP49" s="483">
        <f t="shared" si="59"/>
        <v>0</v>
      </c>
      <c r="AQ49" s="479">
        <f t="shared" si="59"/>
        <v>0</v>
      </c>
      <c r="AR49" s="479">
        <f t="shared" si="59"/>
        <v>0</v>
      </c>
      <c r="AS49" s="483">
        <f t="shared" si="59"/>
        <v>0</v>
      </c>
      <c r="AT49" s="478"/>
      <c r="AU49" s="478"/>
      <c r="AV49" s="478"/>
      <c r="AW49" s="478"/>
      <c r="AX49" s="478"/>
      <c r="AY49" s="478"/>
      <c r="AZ49" s="478"/>
      <c r="BA49" s="478"/>
      <c r="BB49" s="478"/>
      <c r="BC49" s="478"/>
      <c r="BD49" s="478"/>
      <c r="BE49" s="478"/>
      <c r="BF49" s="478"/>
      <c r="BG49" s="478"/>
      <c r="BH49" s="420"/>
      <c r="BI49" s="420"/>
      <c r="BJ49" s="420"/>
      <c r="BK49" s="484">
        <f>SUM(BK25:BK41)</f>
        <v>0</v>
      </c>
      <c r="BL49" s="420"/>
      <c r="BM49" s="420"/>
      <c r="BN49" s="420"/>
      <c r="BO49" s="420"/>
      <c r="BP49" s="420"/>
      <c r="BQ49" s="420"/>
      <c r="BR49" s="420"/>
      <c r="BS49" s="420"/>
      <c r="BT49" s="420"/>
      <c r="BU49" s="420"/>
      <c r="BV49" s="420"/>
      <c r="BW49" s="420"/>
      <c r="BX49" s="420"/>
      <c r="BY49" s="420"/>
      <c r="BZ49" s="420"/>
      <c r="CA49" s="420"/>
      <c r="CB49" s="420"/>
      <c r="CC49" s="473"/>
      <c r="CD49" s="473"/>
      <c r="CE49" s="465"/>
      <c r="CF49" s="466"/>
      <c r="CG49" s="420"/>
      <c r="CH49" s="420"/>
      <c r="CI49" s="420"/>
      <c r="CJ49" s="420"/>
      <c r="CK49" s="420"/>
      <c r="CL49" s="420"/>
      <c r="CM49" s="202"/>
      <c r="CN49" s="202"/>
      <c r="CO49" s="202"/>
      <c r="CP49" s="202"/>
      <c r="CQ49" s="202"/>
      <c r="CR49" s="202"/>
      <c r="CS49" s="202"/>
      <c r="CT49" s="202"/>
      <c r="CU49" s="202"/>
      <c r="CV49" s="202"/>
    </row>
    <row r="50" spans="1:100" s="206" customFormat="1" ht="26.25" customHeight="1" thickBot="1" x14ac:dyDescent="0.3">
      <c r="A50" s="238" t="s">
        <v>316</v>
      </c>
      <c r="B50" s="239"/>
      <c r="C50" s="239"/>
      <c r="D50" s="240"/>
      <c r="E50" s="240"/>
      <c r="F50" s="240"/>
      <c r="G50" s="240"/>
      <c r="H50" s="275"/>
      <c r="I50" s="392" t="str">
        <f>IF(M49=0," ",M49)</f>
        <v xml:space="preserve"> </v>
      </c>
      <c r="J50" s="392" t="str">
        <f>IF(N50=0," ",N50)</f>
        <v xml:space="preserve"> </v>
      </c>
      <c r="K50" s="155"/>
      <c r="L50" s="485"/>
      <c r="M50" s="486"/>
      <c r="N50" s="487">
        <f>SUM(N25:N41)</f>
        <v>0</v>
      </c>
      <c r="O50" s="486"/>
      <c r="P50" s="487">
        <f>SUM(P25:P41)+SUM(I43:I48)</f>
        <v>0</v>
      </c>
      <c r="Q50" s="486"/>
      <c r="R50" s="487">
        <f>SUM(R25:R41)+SUM(I43:I48)</f>
        <v>0</v>
      </c>
      <c r="S50" s="486"/>
      <c r="T50" s="487">
        <f>SUM(T25:T41)</f>
        <v>0</v>
      </c>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8"/>
      <c r="BI50" s="488"/>
      <c r="BJ50" s="488"/>
      <c r="BK50" s="489"/>
      <c r="BL50" s="488"/>
      <c r="BM50" s="488"/>
      <c r="BN50" s="488"/>
      <c r="BO50" s="488"/>
      <c r="BP50" s="488"/>
      <c r="BQ50" s="488"/>
      <c r="BR50" s="488"/>
      <c r="BS50" s="488"/>
      <c r="BT50" s="488"/>
      <c r="BU50" s="488"/>
      <c r="BV50" s="488"/>
      <c r="BW50" s="488"/>
      <c r="BX50" s="488"/>
      <c r="BY50" s="488"/>
      <c r="BZ50" s="488"/>
      <c r="CA50" s="488"/>
      <c r="CB50" s="488"/>
      <c r="CC50" s="490"/>
      <c r="CD50" s="490"/>
      <c r="CE50" s="465"/>
      <c r="CF50" s="466"/>
      <c r="CG50" s="488"/>
      <c r="CH50" s="488"/>
      <c r="CI50" s="488"/>
      <c r="CJ50" s="488"/>
      <c r="CK50" s="488"/>
      <c r="CL50" s="488"/>
      <c r="CM50" s="205"/>
      <c r="CN50" s="205"/>
      <c r="CO50" s="205"/>
      <c r="CP50" s="205"/>
      <c r="CQ50" s="205"/>
      <c r="CR50" s="205"/>
      <c r="CS50" s="205"/>
      <c r="CT50" s="205"/>
      <c r="CU50" s="205"/>
      <c r="CV50" s="205"/>
    </row>
    <row r="51" spans="1:100" s="204" customFormat="1" ht="8.25" customHeight="1" x14ac:dyDescent="0.25">
      <c r="A51" s="39"/>
      <c r="B51" s="5"/>
      <c r="C51" s="5"/>
      <c r="D51" s="9"/>
      <c r="E51" s="9"/>
      <c r="F51" s="9"/>
      <c r="G51" s="9"/>
      <c r="H51" s="9"/>
      <c r="I51" s="134"/>
      <c r="J51" s="135"/>
      <c r="K51" s="29"/>
      <c r="L51" s="203"/>
      <c r="M51" s="478"/>
      <c r="N51" s="478"/>
      <c r="O51" s="478"/>
      <c r="P51" s="498" t="e">
        <f>+P50/M49</f>
        <v>#DIV/0!</v>
      </c>
      <c r="Q51" s="478" t="s">
        <v>2</v>
      </c>
      <c r="R51" s="498" t="e">
        <f>+R50/M49</f>
        <v>#DIV/0!</v>
      </c>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8"/>
      <c r="AY51" s="478"/>
      <c r="AZ51" s="478"/>
      <c r="BA51" s="478"/>
      <c r="BB51" s="478"/>
      <c r="BC51" s="478"/>
      <c r="BD51" s="478"/>
      <c r="BE51" s="478"/>
      <c r="BF51" s="478"/>
      <c r="BG51" s="478"/>
      <c r="BH51" s="420"/>
      <c r="BI51" s="420"/>
      <c r="BJ51" s="420"/>
      <c r="BK51" s="491"/>
      <c r="BL51" s="420"/>
      <c r="BM51" s="420"/>
      <c r="BN51" s="420"/>
      <c r="BO51" s="420"/>
      <c r="BP51" s="420"/>
      <c r="BQ51" s="420"/>
      <c r="BR51" s="420"/>
      <c r="BS51" s="420"/>
      <c r="BT51" s="420"/>
      <c r="BU51" s="420"/>
      <c r="BV51" s="420"/>
      <c r="BW51" s="420"/>
      <c r="BX51" s="420"/>
      <c r="BY51" s="420"/>
      <c r="BZ51" s="420"/>
      <c r="CA51" s="420"/>
      <c r="CB51" s="420"/>
      <c r="CC51" s="473"/>
      <c r="CD51" s="473"/>
      <c r="CE51" s="465"/>
      <c r="CF51" s="466"/>
      <c r="CG51" s="420"/>
      <c r="CH51" s="420"/>
      <c r="CI51" s="420"/>
      <c r="CJ51" s="420"/>
      <c r="CK51" s="420"/>
      <c r="CL51" s="420"/>
      <c r="CM51" s="202"/>
      <c r="CN51" s="202"/>
      <c r="CO51" s="202"/>
      <c r="CP51" s="202"/>
      <c r="CQ51" s="202"/>
      <c r="CR51" s="202"/>
      <c r="CS51" s="202"/>
      <c r="CT51" s="202"/>
      <c r="CU51" s="202"/>
      <c r="CV51" s="202"/>
    </row>
    <row r="52" spans="1:100" s="208" customFormat="1" ht="12" hidden="1" customHeight="1" x14ac:dyDescent="0.25">
      <c r="A52" s="975" t="s">
        <v>287</v>
      </c>
      <c r="B52" s="976"/>
      <c r="C52" s="176" t="s">
        <v>215</v>
      </c>
      <c r="D52" s="139" t="s">
        <v>4</v>
      </c>
      <c r="E52" s="552" t="s">
        <v>264</v>
      </c>
      <c r="F52" s="139" t="s">
        <v>236</v>
      </c>
      <c r="G52" s="138" t="s">
        <v>237</v>
      </c>
      <c r="H52" s="49"/>
      <c r="I52" s="137"/>
      <c r="J52" s="136"/>
      <c r="K52" s="136"/>
      <c r="L52" s="492"/>
      <c r="M52" s="493"/>
      <c r="N52" s="494" t="str">
        <f>C53</f>
        <v xml:space="preserve"> </v>
      </c>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5"/>
      <c r="BI52" s="495"/>
      <c r="BJ52" s="495"/>
      <c r="BK52" s="496"/>
      <c r="BL52" s="495"/>
      <c r="BM52" s="495"/>
      <c r="BN52" s="495"/>
      <c r="BO52" s="495"/>
      <c r="BP52" s="495"/>
      <c r="BQ52" s="495"/>
      <c r="BR52" s="495"/>
      <c r="BS52" s="495"/>
      <c r="BT52" s="495"/>
      <c r="BU52" s="495"/>
      <c r="BV52" s="495"/>
      <c r="BW52" s="495"/>
      <c r="BX52" s="495"/>
      <c r="BY52" s="495"/>
      <c r="BZ52" s="495"/>
      <c r="CA52" s="495"/>
      <c r="CB52" s="495"/>
      <c r="CC52" s="497"/>
      <c r="CD52" s="497"/>
      <c r="CE52" s="465"/>
      <c r="CF52" s="466"/>
      <c r="CG52" s="495"/>
      <c r="CH52" s="495"/>
      <c r="CI52" s="495"/>
      <c r="CJ52" s="495"/>
      <c r="CK52" s="495"/>
      <c r="CL52" s="495"/>
      <c r="CM52" s="207"/>
      <c r="CN52" s="207"/>
      <c r="CO52" s="207"/>
      <c r="CP52" s="207"/>
      <c r="CQ52" s="207"/>
      <c r="CR52" s="207"/>
      <c r="CS52" s="207"/>
      <c r="CT52" s="207"/>
      <c r="CU52" s="207"/>
      <c r="CV52" s="207"/>
    </row>
    <row r="53" spans="1:100" s="208" customFormat="1" ht="10.5" hidden="1" customHeight="1" x14ac:dyDescent="0.25">
      <c r="A53" s="143" t="s">
        <v>181</v>
      </c>
      <c r="B53" s="140"/>
      <c r="C53" s="365" t="str">
        <f>IF($M49=0," ",IF(AE55+AF55=0,"0,00",(AE55*CG43+AF55*CH43)/(CG43+CH43+N43+N44+N45+N46+N47+N48)))</f>
        <v xml:space="preserve"> </v>
      </c>
      <c r="D53" s="366" t="str">
        <f>IF($M49=0," ",(W55+AA55)/2)</f>
        <v xml:space="preserve"> </v>
      </c>
      <c r="E53" s="553" t="str">
        <f>IF($M49=0," ",CO43/M49)</f>
        <v xml:space="preserve"> </v>
      </c>
      <c r="F53" s="366" t="str">
        <f>IF($M49=0," ",(Y55+AC55)/2)</f>
        <v xml:space="preserve"> </v>
      </c>
      <c r="G53" s="366" t="str">
        <f>IF($M49=0," ",(Z55+AD55)/2)</f>
        <v xml:space="preserve"> </v>
      </c>
      <c r="H53" s="49"/>
      <c r="I53" s="137"/>
      <c r="J53" s="136"/>
      <c r="K53" s="136"/>
      <c r="L53" s="492"/>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5"/>
      <c r="BI53" s="495"/>
      <c r="BJ53" s="495"/>
      <c r="BK53" s="496"/>
      <c r="BL53" s="495"/>
      <c r="BM53" s="495"/>
      <c r="BN53" s="495"/>
      <c r="BO53" s="495"/>
      <c r="BP53" s="495"/>
      <c r="BQ53" s="495"/>
      <c r="BR53" s="495"/>
      <c r="BS53" s="495"/>
      <c r="BT53" s="495"/>
      <c r="BU53" s="495"/>
      <c r="BV53" s="495"/>
      <c r="BW53" s="495"/>
      <c r="BX53" s="495"/>
      <c r="BY53" s="495"/>
      <c r="BZ53" s="495"/>
      <c r="CA53" s="495"/>
      <c r="CB53" s="495"/>
      <c r="CC53" s="497"/>
      <c r="CD53" s="497"/>
      <c r="CE53" s="465"/>
      <c r="CF53" s="466"/>
      <c r="CG53" s="495"/>
      <c r="CH53" s="495"/>
      <c r="CI53" s="495"/>
      <c r="CJ53" s="495"/>
      <c r="CK53" s="495"/>
      <c r="CL53" s="495"/>
      <c r="CM53" s="207"/>
      <c r="CN53" s="207"/>
      <c r="CO53" s="207"/>
      <c r="CP53" s="207"/>
      <c r="CQ53" s="207"/>
      <c r="CR53" s="207"/>
      <c r="CS53" s="207"/>
      <c r="CT53" s="207"/>
      <c r="CU53" s="207"/>
      <c r="CV53" s="207"/>
    </row>
    <row r="54" spans="1:100" s="208" customFormat="1" ht="10.5" hidden="1" customHeight="1" x14ac:dyDescent="0.25">
      <c r="A54" s="141" t="s">
        <v>182</v>
      </c>
      <c r="B54" s="142"/>
      <c r="C54" s="367" t="str">
        <f>IF(N49=0," ",AM55)</f>
        <v xml:space="preserve"> </v>
      </c>
      <c r="D54" s="366" t="str">
        <f>IF($N49=0," ",(AG55+AJ55)/2)</f>
        <v xml:space="preserve"> </v>
      </c>
      <c r="E54" s="553" t="str">
        <f>IF($N49=0," ",CP43/N49)</f>
        <v xml:space="preserve"> </v>
      </c>
      <c r="F54" s="366" t="str">
        <f>IF($N49=0," ",(AH55+AK55)/2)</f>
        <v xml:space="preserve"> </v>
      </c>
      <c r="G54" s="366" t="str">
        <f>IF($N49=0," ",(AI55+AL55)/2)</f>
        <v xml:space="preserve"> </v>
      </c>
      <c r="H54" s="49"/>
      <c r="I54" s="137"/>
      <c r="J54" s="136"/>
      <c r="K54" s="136"/>
      <c r="L54" s="492"/>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5"/>
      <c r="BI54" s="495"/>
      <c r="BJ54" s="495"/>
      <c r="BK54" s="496"/>
      <c r="BL54" s="495"/>
      <c r="BM54" s="495"/>
      <c r="BN54" s="495"/>
      <c r="BO54" s="495"/>
      <c r="BP54" s="495"/>
      <c r="BQ54" s="495"/>
      <c r="BR54" s="495"/>
      <c r="BS54" s="495"/>
      <c r="BT54" s="495"/>
      <c r="BU54" s="495"/>
      <c r="BV54" s="495"/>
      <c r="BW54" s="495"/>
      <c r="BX54" s="495"/>
      <c r="BY54" s="495"/>
      <c r="BZ54" s="495"/>
      <c r="CA54" s="495"/>
      <c r="CB54" s="495"/>
      <c r="CC54" s="497"/>
      <c r="CD54" s="497"/>
      <c r="CE54" s="465"/>
      <c r="CF54" s="466"/>
      <c r="CG54" s="495"/>
      <c r="CH54" s="495"/>
      <c r="CI54" s="495"/>
      <c r="CJ54" s="495"/>
      <c r="CK54" s="495"/>
      <c r="CL54" s="495"/>
      <c r="CM54" s="207"/>
      <c r="CN54" s="207"/>
      <c r="CO54" s="207"/>
      <c r="CP54" s="207"/>
      <c r="CQ54" s="207"/>
      <c r="CR54" s="207"/>
      <c r="CS54" s="207"/>
      <c r="CT54" s="207"/>
      <c r="CU54" s="207"/>
      <c r="CV54" s="207"/>
    </row>
    <row r="55" spans="1:100" s="204" customFormat="1" ht="28.5" customHeight="1" x14ac:dyDescent="0.25">
      <c r="A55" s="992" t="s">
        <v>331</v>
      </c>
      <c r="B55" s="992"/>
      <c r="C55" s="992"/>
      <c r="D55" s="992"/>
      <c r="E55" s="992"/>
      <c r="F55" s="992"/>
      <c r="G55" s="992"/>
      <c r="H55" s="992"/>
      <c r="I55" s="992"/>
      <c r="J55" s="992"/>
      <c r="K55" s="29"/>
      <c r="L55" s="203"/>
      <c r="M55" s="478"/>
      <c r="N55" s="478"/>
      <c r="O55" s="478"/>
      <c r="P55" s="478"/>
      <c r="Q55" s="478"/>
      <c r="R55" s="478"/>
      <c r="S55" s="478"/>
      <c r="T55" s="478"/>
      <c r="U55" s="478"/>
      <c r="V55" s="478"/>
      <c r="W55" s="204" t="e">
        <f>+W49/$M49</f>
        <v>#DIV/0!</v>
      </c>
      <c r="Y55" s="204" t="e">
        <f>+Y49/$M49</f>
        <v>#DIV/0!</v>
      </c>
      <c r="Z55" s="204" t="e">
        <f>+Z49/$M49</f>
        <v>#DIV/0!</v>
      </c>
      <c r="AA55" s="498" t="e">
        <f>+AA49/$M49</f>
        <v>#DIV/0!</v>
      </c>
      <c r="AB55" s="498"/>
      <c r="AC55" s="498" t="e">
        <f>+AC49/$M49</f>
        <v>#DIV/0!</v>
      </c>
      <c r="AD55" s="498" t="e">
        <f>+AD49/$M49</f>
        <v>#DIV/0!</v>
      </c>
      <c r="AE55" s="498">
        <f>SUMPRODUCT(AE25:AE41,$CG25:$CG41)/CG44</f>
        <v>0</v>
      </c>
      <c r="AF55" s="498">
        <f>SUMPRODUCT(AF25:AF41,$CH25:$CH41)/CH44</f>
        <v>0</v>
      </c>
      <c r="AG55" s="498" t="e">
        <f t="shared" ref="AG55:AL55" si="60">+(AG49+AN49)/$N49</f>
        <v>#DIV/0!</v>
      </c>
      <c r="AH55" s="498" t="e">
        <f t="shared" si="60"/>
        <v>#DIV/0!</v>
      </c>
      <c r="AI55" s="498" t="e">
        <f t="shared" si="60"/>
        <v>#DIV/0!</v>
      </c>
      <c r="AJ55" s="498" t="e">
        <f t="shared" si="60"/>
        <v>#DIV/0!</v>
      </c>
      <c r="AK55" s="498" t="e">
        <f t="shared" si="60"/>
        <v>#DIV/0!</v>
      </c>
      <c r="AL55" s="498" t="e">
        <f t="shared" si="60"/>
        <v>#DIV/0!</v>
      </c>
      <c r="AM55" s="498" t="e">
        <f>SUMPRODUCT(AM25:AM41,$J25:$J41)/J49</f>
        <v>#VALUE!</v>
      </c>
      <c r="AN55" s="498"/>
      <c r="AO55" s="498"/>
      <c r="AP55" s="498"/>
      <c r="AQ55" s="498"/>
      <c r="AR55" s="498"/>
      <c r="AS55" s="498"/>
      <c r="AT55" s="499" t="s">
        <v>162</v>
      </c>
      <c r="AU55" s="478"/>
      <c r="AV55" s="478"/>
      <c r="AW55" s="478"/>
      <c r="AX55" s="478"/>
      <c r="AY55" s="478"/>
      <c r="AZ55" s="478"/>
      <c r="BA55" s="478"/>
      <c r="BB55" s="478"/>
      <c r="BC55" s="478"/>
      <c r="BD55" s="478"/>
      <c r="BE55" s="478"/>
      <c r="BF55" s="478"/>
      <c r="BG55" s="478"/>
      <c r="BH55" s="420"/>
      <c r="BI55" s="420"/>
      <c r="BJ55" s="420"/>
      <c r="BK55" s="420"/>
      <c r="BL55" s="420"/>
      <c r="BM55" s="420"/>
      <c r="BN55" s="420"/>
      <c r="BO55" s="420"/>
      <c r="BP55" s="420"/>
      <c r="BQ55" s="420"/>
      <c r="BR55" s="420"/>
      <c r="BS55" s="420"/>
      <c r="BT55" s="420"/>
      <c r="BU55" s="420"/>
      <c r="BV55" s="420"/>
      <c r="BW55" s="420"/>
      <c r="BX55" s="420"/>
      <c r="BY55" s="420"/>
      <c r="BZ55" s="420"/>
      <c r="CA55" s="420"/>
      <c r="CB55" s="420"/>
      <c r="CC55" s="473"/>
      <c r="CD55" s="473"/>
      <c r="CE55" s="465"/>
      <c r="CF55" s="466"/>
      <c r="CG55" s="420"/>
      <c r="CH55" s="420"/>
      <c r="CI55" s="420"/>
      <c r="CJ55" s="420"/>
      <c r="CK55" s="420"/>
      <c r="CL55" s="420"/>
      <c r="CM55" s="202"/>
      <c r="CN55" s="202"/>
      <c r="CO55" s="202"/>
      <c r="CP55" s="202"/>
      <c r="CQ55" s="202"/>
      <c r="CR55" s="202"/>
      <c r="CS55" s="202"/>
      <c r="CT55" s="202"/>
      <c r="CU55" s="202"/>
      <c r="CV55" s="202"/>
    </row>
    <row r="56" spans="1:100" s="204" customFormat="1" ht="41.25" customHeight="1" thickBot="1" x14ac:dyDescent="0.3">
      <c r="A56" s="33"/>
      <c r="B56" s="33"/>
      <c r="C56" s="33"/>
      <c r="D56" s="33"/>
      <c r="E56" s="33"/>
      <c r="F56" s="33"/>
      <c r="G56" s="33"/>
      <c r="H56" s="33"/>
      <c r="I56" s="33"/>
      <c r="J56" s="28"/>
      <c r="K56" s="28"/>
      <c r="L56" s="202"/>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0"/>
      <c r="BJ56" s="420"/>
      <c r="BK56" s="420"/>
      <c r="BL56" s="420"/>
      <c r="BM56" s="420"/>
      <c r="BN56" s="420"/>
      <c r="BO56" s="420"/>
      <c r="BP56" s="420"/>
      <c r="BQ56" s="420"/>
      <c r="BR56" s="420"/>
      <c r="BS56" s="420"/>
      <c r="BT56" s="420"/>
      <c r="BU56" s="420"/>
      <c r="BV56" s="420"/>
      <c r="BW56" s="420"/>
      <c r="BX56" s="420"/>
      <c r="CC56" s="473"/>
      <c r="CD56" s="473"/>
      <c r="CE56" s="465"/>
      <c r="CF56" s="466"/>
      <c r="CG56" s="420"/>
      <c r="CH56" s="420"/>
      <c r="CI56" s="202"/>
      <c r="CJ56" s="202"/>
      <c r="CK56" s="202"/>
      <c r="CL56" s="202"/>
      <c r="CM56" s="202"/>
      <c r="CN56" s="202"/>
      <c r="CO56" s="202"/>
      <c r="CP56" s="202"/>
      <c r="CQ56" s="202"/>
      <c r="CR56" s="202"/>
    </row>
    <row r="57" spans="1:100" s="204" customFormat="1" ht="15.75" customHeight="1" thickBot="1" x14ac:dyDescent="0.3">
      <c r="A57" s="256" t="s">
        <v>228</v>
      </c>
      <c r="B57" s="259"/>
      <c r="C57" s="259"/>
      <c r="D57" s="259"/>
      <c r="E57" s="259"/>
      <c r="F57" s="259"/>
      <c r="G57" s="259"/>
      <c r="H57" s="259"/>
      <c r="I57" s="259"/>
      <c r="J57" s="260"/>
      <c r="K57" s="28"/>
      <c r="L57" s="202"/>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c r="BQ57" s="420"/>
      <c r="BR57" s="420"/>
      <c r="BS57" s="420"/>
      <c r="BT57" s="420"/>
      <c r="BU57" s="420"/>
      <c r="BV57" s="420"/>
      <c r="BW57" s="420"/>
      <c r="BX57" s="420"/>
      <c r="CC57" s="473"/>
      <c r="CD57" s="473"/>
      <c r="CE57" s="465"/>
      <c r="CF57" s="466"/>
      <c r="CG57" s="420"/>
      <c r="CH57" s="420"/>
      <c r="CI57" s="202"/>
      <c r="CJ57" s="202"/>
      <c r="CK57" s="202"/>
      <c r="CL57" s="202"/>
      <c r="CM57" s="202"/>
      <c r="CN57" s="202"/>
      <c r="CO57" s="202"/>
      <c r="CP57" s="202"/>
      <c r="CQ57" s="202"/>
      <c r="CR57" s="202"/>
    </row>
    <row r="58" spans="1:100" s="204" customFormat="1" ht="16.5" customHeight="1" thickBot="1" x14ac:dyDescent="0.3">
      <c r="A58" s="33"/>
      <c r="B58" s="33"/>
      <c r="C58" s="33"/>
      <c r="D58" s="33"/>
      <c r="E58" s="33"/>
      <c r="F58" s="33"/>
      <c r="G58" s="33"/>
      <c r="H58" s="33"/>
      <c r="I58" s="33"/>
      <c r="J58" s="28"/>
      <c r="K58" s="28"/>
      <c r="L58" s="202"/>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c r="AS58" s="420"/>
      <c r="AT58" s="420"/>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c r="BQ58" s="420"/>
      <c r="BR58" s="420"/>
      <c r="BS58" s="420"/>
      <c r="BT58" s="420"/>
      <c r="CC58" s="473"/>
      <c r="CD58" s="473"/>
      <c r="CE58" s="465"/>
      <c r="CF58" s="466"/>
      <c r="CG58" s="420"/>
      <c r="CH58" s="420"/>
      <c r="CI58" s="202"/>
      <c r="CJ58" s="202"/>
      <c r="CK58" s="202"/>
      <c r="CL58" s="202"/>
      <c r="CM58" s="202"/>
      <c r="CN58" s="202"/>
      <c r="CO58" s="202"/>
      <c r="CP58" s="202"/>
      <c r="CQ58" s="202"/>
      <c r="CR58" s="202"/>
    </row>
    <row r="59" spans="1:100" s="204" customFormat="1" ht="15.75" customHeight="1" x14ac:dyDescent="0.25">
      <c r="A59" s="606"/>
      <c r="B59" s="607" t="s">
        <v>220</v>
      </c>
      <c r="G59" s="187"/>
      <c r="H59" s="187"/>
      <c r="I59" s="187"/>
      <c r="J59" s="187"/>
      <c r="K59" s="28"/>
      <c r="L59" s="202"/>
      <c r="M59" s="420"/>
      <c r="N59" s="350" t="s">
        <v>221</v>
      </c>
      <c r="O59" s="351" t="s">
        <v>4</v>
      </c>
      <c r="P59" s="352" t="s">
        <v>250</v>
      </c>
      <c r="Q59" s="353" t="s">
        <v>251</v>
      </c>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c r="AS59" s="420"/>
      <c r="AT59" s="420"/>
      <c r="AU59" s="420"/>
      <c r="AV59" s="420"/>
      <c r="AW59" s="420"/>
      <c r="AX59" s="420"/>
      <c r="AY59" s="420"/>
      <c r="AZ59" s="420"/>
      <c r="BA59" s="420"/>
      <c r="BB59" s="420"/>
      <c r="BC59" s="420"/>
      <c r="BD59" s="420"/>
      <c r="BE59" s="420"/>
      <c r="BF59" s="420"/>
      <c r="BG59" s="420"/>
      <c r="BH59" s="420"/>
      <c r="BI59" s="420"/>
      <c r="BJ59" s="420"/>
      <c r="BK59" s="420"/>
      <c r="BL59" s="420"/>
      <c r="BM59" s="420"/>
      <c r="BN59" s="420"/>
      <c r="BO59" s="420"/>
      <c r="BP59" s="420"/>
      <c r="BQ59" s="420"/>
      <c r="BR59" s="420"/>
      <c r="BS59" s="420"/>
      <c r="BT59" s="420"/>
      <c r="CC59" s="473"/>
      <c r="CD59" s="473"/>
      <c r="CE59" s="500"/>
      <c r="CF59" s="501"/>
      <c r="CG59" s="420"/>
      <c r="CH59" s="420"/>
      <c r="CI59" s="202"/>
      <c r="CJ59" s="202"/>
      <c r="CK59" s="202"/>
      <c r="CL59" s="202"/>
      <c r="CM59" s="202"/>
      <c r="CN59" s="202"/>
      <c r="CO59" s="202"/>
      <c r="CP59" s="202"/>
      <c r="CQ59" s="202"/>
      <c r="CR59" s="202"/>
    </row>
    <row r="60" spans="1:100" s="204" customFormat="1" ht="15.75" customHeight="1" x14ac:dyDescent="0.25">
      <c r="A60" s="608"/>
      <c r="B60" s="348" t="s">
        <v>1</v>
      </c>
      <c r="G60" s="346"/>
      <c r="H60" s="346"/>
      <c r="I60" s="346"/>
      <c r="J60" s="346"/>
      <c r="K60" s="28"/>
      <c r="L60" s="202"/>
      <c r="M60" s="420"/>
      <c r="N60" s="348" t="s">
        <v>2</v>
      </c>
      <c r="O60" s="1015" t="s">
        <v>156</v>
      </c>
      <c r="P60" s="1016"/>
      <c r="Q60" s="1017"/>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0"/>
      <c r="AY60" s="420"/>
      <c r="AZ60" s="420"/>
      <c r="BA60" s="420"/>
      <c r="BB60" s="420"/>
      <c r="BC60" s="420"/>
      <c r="BD60" s="420"/>
      <c r="BE60" s="420"/>
      <c r="BF60" s="420"/>
      <c r="BG60" s="420"/>
      <c r="BH60" s="420"/>
      <c r="BI60" s="420"/>
      <c r="BJ60" s="420"/>
      <c r="BK60" s="420"/>
      <c r="BL60" s="420"/>
      <c r="BM60" s="420"/>
      <c r="BN60" s="420"/>
      <c r="BO60" s="420"/>
      <c r="BP60" s="420"/>
      <c r="BQ60" s="420"/>
      <c r="BR60" s="420"/>
      <c r="BS60" s="420"/>
      <c r="BT60" s="420"/>
      <c r="CC60" s="473"/>
      <c r="CD60" s="473"/>
      <c r="CE60" s="500"/>
      <c r="CF60" s="501"/>
      <c r="CG60" s="420"/>
      <c r="CH60" s="420"/>
      <c r="CI60" s="202"/>
      <c r="CJ60" s="202"/>
      <c r="CK60" s="202"/>
      <c r="CL60" s="202"/>
      <c r="CM60" s="202"/>
      <c r="CN60" s="202"/>
      <c r="CO60" s="202"/>
      <c r="CP60" s="202"/>
      <c r="CQ60" s="202"/>
      <c r="CR60" s="202"/>
    </row>
    <row r="61" spans="1:100" s="204" customFormat="1" ht="15.75" customHeight="1" thickBot="1" x14ac:dyDescent="0.3">
      <c r="A61" s="609" t="s">
        <v>223</v>
      </c>
      <c r="B61" s="610">
        <f>M49</f>
        <v>0</v>
      </c>
      <c r="G61" s="188"/>
      <c r="H61" s="189"/>
      <c r="I61" s="189"/>
      <c r="J61" s="189"/>
      <c r="K61" s="28"/>
      <c r="L61" s="202"/>
      <c r="M61" s="420"/>
      <c r="N61" s="369">
        <f>IF(C53=" ",0,C53)</f>
        <v>0</v>
      </c>
      <c r="O61" s="370">
        <f>IF(D53=" ",0,D53)</f>
        <v>0</v>
      </c>
      <c r="P61" s="370">
        <f>IF(F53=" ",0,F53)</f>
        <v>0</v>
      </c>
      <c r="Q61" s="371">
        <f>IF(G53=" ",0,G53)</f>
        <v>0</v>
      </c>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0"/>
      <c r="AY61" s="420"/>
      <c r="AZ61" s="420"/>
      <c r="BA61" s="420"/>
      <c r="BB61" s="420"/>
      <c r="BC61" s="420"/>
      <c r="BD61" s="420"/>
      <c r="BE61" s="420"/>
      <c r="BF61" s="420"/>
      <c r="BG61" s="420"/>
      <c r="BH61" s="420"/>
      <c r="BI61" s="420"/>
      <c r="BJ61" s="420"/>
      <c r="BK61" s="420"/>
      <c r="BL61" s="420"/>
      <c r="BM61" s="420"/>
      <c r="BN61" s="420"/>
      <c r="BO61" s="420"/>
      <c r="BP61" s="420"/>
      <c r="BQ61" s="420"/>
      <c r="BR61" s="420"/>
      <c r="BS61" s="420"/>
      <c r="BT61" s="420"/>
      <c r="CC61" s="473"/>
      <c r="CD61" s="473"/>
      <c r="CE61" s="500"/>
      <c r="CF61" s="501"/>
      <c r="CG61" s="420"/>
      <c r="CH61" s="420"/>
      <c r="CI61" s="202"/>
      <c r="CJ61" s="202"/>
      <c r="CK61" s="202"/>
      <c r="CL61" s="202"/>
      <c r="CM61" s="202"/>
      <c r="CN61" s="202"/>
      <c r="CO61" s="202"/>
      <c r="CP61" s="202"/>
      <c r="CQ61" s="202"/>
      <c r="CR61" s="202"/>
    </row>
    <row r="62" spans="1:100" s="204" customFormat="1" ht="15.75" customHeight="1" x14ac:dyDescent="0.25">
      <c r="A62" s="181"/>
      <c r="B62" s="182"/>
      <c r="C62" s="185"/>
      <c r="D62" s="179"/>
      <c r="E62" s="179"/>
      <c r="F62" s="179"/>
      <c r="G62" s="185"/>
      <c r="H62" s="185"/>
      <c r="I62" s="185"/>
      <c r="J62" s="179"/>
      <c r="K62" s="28"/>
      <c r="L62" s="202"/>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20"/>
      <c r="AY62" s="420"/>
      <c r="AZ62" s="420"/>
      <c r="BA62" s="420"/>
      <c r="BB62" s="420"/>
      <c r="BC62" s="420"/>
      <c r="BD62" s="420"/>
      <c r="BE62" s="420"/>
      <c r="BF62" s="420"/>
      <c r="BG62" s="420"/>
      <c r="BH62" s="420"/>
      <c r="BI62" s="420"/>
      <c r="BJ62" s="420"/>
      <c r="BK62" s="420"/>
      <c r="BL62" s="420"/>
      <c r="BM62" s="420"/>
      <c r="BN62" s="420"/>
      <c r="BO62" s="420"/>
      <c r="BP62" s="420"/>
      <c r="BQ62" s="420"/>
      <c r="BR62" s="420"/>
      <c r="BS62" s="420"/>
      <c r="BT62" s="420"/>
      <c r="CC62" s="473"/>
      <c r="CD62" s="473"/>
      <c r="CE62" s="465"/>
      <c r="CF62" s="466"/>
      <c r="CG62" s="420"/>
      <c r="CH62" s="420"/>
      <c r="CI62" s="202"/>
      <c r="CJ62" s="202"/>
      <c r="CK62" s="202"/>
      <c r="CL62" s="202"/>
      <c r="CM62" s="202"/>
      <c r="CN62" s="202"/>
      <c r="CO62" s="202"/>
      <c r="CP62" s="202"/>
      <c r="CQ62" s="202"/>
      <c r="CR62" s="202"/>
    </row>
    <row r="63" spans="1:100" s="204" customFormat="1" ht="15.75" customHeight="1" x14ac:dyDescent="0.3">
      <c r="A63" s="178"/>
      <c r="B63" s="186"/>
      <c r="C63" s="186"/>
      <c r="D63" s="186"/>
      <c r="E63" s="186"/>
      <c r="F63" s="186"/>
      <c r="G63" s="186"/>
      <c r="H63" s="186"/>
      <c r="I63" s="186"/>
      <c r="J63" s="186"/>
      <c r="K63" s="28"/>
      <c r="L63" s="202"/>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0"/>
      <c r="AY63" s="420"/>
      <c r="AZ63" s="420"/>
      <c r="BA63" s="420"/>
      <c r="BB63" s="420"/>
      <c r="BC63" s="420"/>
      <c r="BD63" s="420"/>
      <c r="BE63" s="420"/>
      <c r="BF63" s="420"/>
      <c r="BG63" s="420"/>
      <c r="BH63" s="420"/>
      <c r="BI63" s="420"/>
      <c r="BJ63" s="420"/>
      <c r="BK63" s="420"/>
      <c r="BL63" s="420"/>
      <c r="BM63" s="420"/>
      <c r="BN63" s="420"/>
      <c r="BO63" s="420"/>
      <c r="BP63" s="420"/>
      <c r="BQ63" s="420"/>
      <c r="BR63" s="420"/>
      <c r="BS63" s="420"/>
      <c r="BT63" s="420"/>
      <c r="CC63" s="473"/>
      <c r="CD63" s="473"/>
      <c r="CE63" s="465"/>
      <c r="CF63" s="466"/>
      <c r="CG63" s="420"/>
      <c r="CH63" s="420"/>
      <c r="CI63" s="202"/>
      <c r="CJ63" s="202"/>
      <c r="CK63" s="202"/>
      <c r="CL63" s="202"/>
      <c r="CM63" s="202"/>
      <c r="CN63" s="202"/>
      <c r="CO63" s="202"/>
      <c r="CP63" s="202"/>
      <c r="CQ63" s="202"/>
      <c r="CR63" s="202"/>
    </row>
    <row r="64" spans="1:100" s="204" customFormat="1" ht="15.75" customHeight="1" thickBot="1" x14ac:dyDescent="0.3">
      <c r="A64" s="183"/>
      <c r="B64" s="11"/>
      <c r="C64" s="11"/>
      <c r="D64" s="11"/>
      <c r="E64" s="11"/>
      <c r="F64" s="11"/>
      <c r="G64" s="11"/>
      <c r="H64" s="11"/>
      <c r="I64" s="11"/>
      <c r="J64" s="11"/>
      <c r="K64" s="28"/>
      <c r="L64" s="202"/>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0"/>
      <c r="BT64" s="420"/>
      <c r="CC64" s="473"/>
      <c r="CD64" s="473"/>
      <c r="CE64" s="465"/>
      <c r="CF64" s="466"/>
      <c r="CG64" s="420"/>
      <c r="CH64" s="420"/>
      <c r="CI64" s="202"/>
      <c r="CJ64" s="202"/>
      <c r="CK64" s="202"/>
      <c r="CL64" s="202"/>
      <c r="CM64" s="202"/>
      <c r="CN64" s="202"/>
      <c r="CO64" s="202"/>
      <c r="CP64" s="202"/>
      <c r="CQ64" s="202"/>
      <c r="CR64" s="202"/>
    </row>
    <row r="65" spans="1:96" s="204" customFormat="1" ht="15.75" customHeight="1" thickBot="1" x14ac:dyDescent="0.35">
      <c r="A65" s="11"/>
      <c r="B65" s="177"/>
      <c r="C65" s="368">
        <f>100-D65</f>
        <v>100</v>
      </c>
      <c r="D65" s="358">
        <v>0</v>
      </c>
      <c r="E65" s="180" t="s">
        <v>249</v>
      </c>
      <c r="F65" s="177"/>
      <c r="G65" s="177"/>
      <c r="H65" s="177"/>
      <c r="I65" s="177"/>
      <c r="J65" s="177"/>
      <c r="K65" s="28"/>
      <c r="L65" s="202"/>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0"/>
      <c r="BT65" s="420"/>
      <c r="CC65" s="473"/>
      <c r="CD65" s="473"/>
      <c r="CE65" s="465"/>
      <c r="CF65" s="466"/>
      <c r="CG65" s="420"/>
      <c r="CH65" s="420"/>
      <c r="CI65" s="202"/>
      <c r="CJ65" s="202"/>
      <c r="CK65" s="202"/>
      <c r="CL65" s="202"/>
      <c r="CM65" s="202"/>
      <c r="CN65" s="202"/>
      <c r="CO65" s="202"/>
      <c r="CP65" s="202"/>
      <c r="CQ65" s="202"/>
      <c r="CR65" s="202"/>
    </row>
    <row r="66" spans="1:96" s="204" customFormat="1" ht="15.75" customHeight="1" x14ac:dyDescent="0.3">
      <c r="A66" s="183"/>
      <c r="B66" s="177"/>
      <c r="C66" s="184"/>
      <c r="D66" s="179"/>
      <c r="E66" s="180"/>
      <c r="F66" s="177"/>
      <c r="G66" s="177"/>
      <c r="H66" s="177"/>
      <c r="I66" s="177"/>
      <c r="J66" s="177"/>
      <c r="K66" s="28"/>
      <c r="L66" s="202"/>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0"/>
      <c r="BT66" s="420"/>
      <c r="CC66" s="473"/>
      <c r="CD66" s="473"/>
      <c r="CE66" s="465"/>
      <c r="CF66" s="466"/>
      <c r="CG66" s="420"/>
      <c r="CH66" s="420"/>
      <c r="CI66" s="202"/>
      <c r="CJ66" s="202"/>
      <c r="CK66" s="202"/>
      <c r="CL66" s="202"/>
      <c r="CM66" s="202"/>
      <c r="CN66" s="202"/>
      <c r="CO66" s="202"/>
      <c r="CP66" s="202"/>
      <c r="CQ66" s="202"/>
      <c r="CR66" s="202"/>
    </row>
    <row r="67" spans="1:96" s="204" customFormat="1" ht="15.75" customHeight="1" x14ac:dyDescent="0.3">
      <c r="A67" s="183"/>
      <c r="B67" s="177"/>
      <c r="C67" s="184"/>
      <c r="D67" s="179"/>
      <c r="E67" s="180"/>
      <c r="F67" s="177"/>
      <c r="G67" s="177"/>
      <c r="H67" s="177"/>
      <c r="I67" s="177"/>
      <c r="J67" s="177"/>
      <c r="K67" s="28"/>
      <c r="L67" s="202"/>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20"/>
      <c r="BS67" s="420"/>
      <c r="BT67" s="420"/>
      <c r="CC67" s="473"/>
      <c r="CD67" s="473"/>
      <c r="CE67" s="465"/>
      <c r="CF67" s="466"/>
      <c r="CG67" s="420"/>
      <c r="CH67" s="420"/>
      <c r="CI67" s="202"/>
      <c r="CJ67" s="202"/>
      <c r="CK67" s="202"/>
      <c r="CL67" s="202"/>
      <c r="CM67" s="202"/>
      <c r="CN67" s="202"/>
      <c r="CO67" s="202"/>
      <c r="CP67" s="202"/>
      <c r="CQ67" s="202"/>
      <c r="CR67" s="202"/>
    </row>
    <row r="68" spans="1:96" s="204" customFormat="1" ht="15.75" customHeight="1" x14ac:dyDescent="0.3">
      <c r="A68" s="183"/>
      <c r="B68" s="177"/>
      <c r="C68" s="184"/>
      <c r="D68" s="179"/>
      <c r="E68" s="180"/>
      <c r="F68" s="177"/>
      <c r="G68" s="177"/>
      <c r="H68" s="177"/>
      <c r="I68" s="177"/>
      <c r="J68" s="177"/>
      <c r="K68" s="28"/>
      <c r="L68" s="202"/>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0"/>
      <c r="AY68" s="420"/>
      <c r="AZ68" s="420"/>
      <c r="BA68" s="420"/>
      <c r="BB68" s="420"/>
      <c r="BC68" s="420"/>
      <c r="BD68" s="420"/>
      <c r="BE68" s="420"/>
      <c r="BF68" s="420"/>
      <c r="BG68" s="420"/>
      <c r="BH68" s="420"/>
      <c r="BI68" s="420"/>
      <c r="BJ68" s="420"/>
      <c r="BK68" s="420"/>
      <c r="BL68" s="420"/>
      <c r="BM68" s="420"/>
      <c r="BN68" s="420"/>
      <c r="BO68" s="420"/>
      <c r="BP68" s="420"/>
      <c r="BQ68" s="420"/>
      <c r="BR68" s="420"/>
      <c r="BS68" s="420"/>
      <c r="BT68" s="420"/>
      <c r="CC68" s="473"/>
      <c r="CD68" s="473"/>
      <c r="CE68" s="465"/>
      <c r="CF68" s="466"/>
      <c r="CG68" s="420"/>
      <c r="CH68" s="420"/>
      <c r="CI68" s="202"/>
      <c r="CJ68" s="202"/>
      <c r="CK68" s="202"/>
      <c r="CL68" s="202"/>
      <c r="CM68" s="202"/>
      <c r="CN68" s="202"/>
      <c r="CO68" s="202"/>
      <c r="CP68" s="202"/>
      <c r="CQ68" s="202"/>
      <c r="CR68" s="202"/>
    </row>
    <row r="69" spans="1:96" s="204" customFormat="1" ht="15.75" customHeight="1" x14ac:dyDescent="0.3">
      <c r="A69" s="183"/>
      <c r="B69" s="177"/>
      <c r="C69" s="184"/>
      <c r="D69" s="179"/>
      <c r="E69" s="180"/>
      <c r="F69" s="177"/>
      <c r="G69" s="177"/>
      <c r="H69" s="177"/>
      <c r="I69" s="177"/>
      <c r="J69" s="177"/>
      <c r="K69" s="28"/>
      <c r="L69" s="202"/>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c r="AL69" s="420"/>
      <c r="AM69" s="420"/>
      <c r="AN69" s="420"/>
      <c r="AO69" s="420"/>
      <c r="AP69" s="420"/>
      <c r="AQ69" s="420"/>
      <c r="AR69" s="420"/>
      <c r="AS69" s="420"/>
      <c r="AT69" s="420"/>
      <c r="AU69" s="420"/>
      <c r="AV69" s="420"/>
      <c r="AW69" s="420"/>
      <c r="AX69" s="420"/>
      <c r="AY69" s="420"/>
      <c r="AZ69" s="420"/>
      <c r="BA69" s="420"/>
      <c r="BB69" s="420"/>
      <c r="BC69" s="420"/>
      <c r="BD69" s="420"/>
      <c r="BE69" s="420"/>
      <c r="BF69" s="420"/>
      <c r="BG69" s="420"/>
      <c r="BH69" s="420"/>
      <c r="BI69" s="420"/>
      <c r="BJ69" s="420"/>
      <c r="BK69" s="420"/>
      <c r="BL69" s="420"/>
      <c r="BM69" s="420"/>
      <c r="BN69" s="420"/>
      <c r="BO69" s="420"/>
      <c r="BP69" s="420"/>
      <c r="BQ69" s="420"/>
      <c r="BR69" s="420"/>
      <c r="BS69" s="420"/>
      <c r="BT69" s="420"/>
      <c r="CC69" s="473"/>
      <c r="CD69" s="473"/>
      <c r="CE69" s="465"/>
      <c r="CF69" s="466"/>
      <c r="CG69" s="420"/>
      <c r="CH69" s="420"/>
      <c r="CI69" s="202"/>
      <c r="CJ69" s="202"/>
      <c r="CK69" s="202"/>
      <c r="CL69" s="202"/>
      <c r="CM69" s="202"/>
      <c r="CN69" s="202"/>
      <c r="CO69" s="202"/>
      <c r="CP69" s="202"/>
      <c r="CQ69" s="202"/>
      <c r="CR69" s="202"/>
    </row>
    <row r="70" spans="1:96" s="204" customFormat="1" ht="15.75" customHeight="1" x14ac:dyDescent="0.3">
      <c r="A70" s="183"/>
      <c r="B70" s="177"/>
      <c r="C70" s="184"/>
      <c r="D70" s="179"/>
      <c r="E70" s="180"/>
      <c r="F70" s="177"/>
      <c r="G70" s="177"/>
      <c r="H70" s="177"/>
      <c r="I70" s="177"/>
      <c r="J70" s="177"/>
      <c r="K70" s="28"/>
      <c r="L70" s="202"/>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0"/>
      <c r="AY70" s="420"/>
      <c r="AZ70" s="420"/>
      <c r="BA70" s="420"/>
      <c r="BB70" s="420"/>
      <c r="BC70" s="420"/>
      <c r="BD70" s="420"/>
      <c r="BE70" s="420"/>
      <c r="BF70" s="420"/>
      <c r="BG70" s="420"/>
      <c r="BH70" s="420"/>
      <c r="BI70" s="420"/>
      <c r="BJ70" s="420"/>
      <c r="BK70" s="420"/>
      <c r="BL70" s="420"/>
      <c r="BM70" s="420"/>
      <c r="BN70" s="420"/>
      <c r="BO70" s="420"/>
      <c r="BP70" s="420"/>
      <c r="BQ70" s="420"/>
      <c r="BR70" s="420"/>
      <c r="BS70" s="420"/>
      <c r="BT70" s="420"/>
      <c r="CC70" s="473"/>
      <c r="CD70" s="473"/>
      <c r="CE70" s="465"/>
      <c r="CF70" s="466"/>
      <c r="CG70" s="420"/>
      <c r="CH70" s="420"/>
      <c r="CI70" s="202"/>
      <c r="CJ70" s="202"/>
      <c r="CK70" s="202"/>
      <c r="CL70" s="202"/>
      <c r="CM70" s="202"/>
      <c r="CN70" s="202"/>
      <c r="CO70" s="202"/>
      <c r="CP70" s="202"/>
      <c r="CQ70" s="202"/>
      <c r="CR70" s="202"/>
    </row>
    <row r="71" spans="1:96" s="204" customFormat="1" ht="15.75" customHeight="1" x14ac:dyDescent="0.3">
      <c r="A71" s="183"/>
      <c r="B71" s="177"/>
      <c r="C71" s="184"/>
      <c r="D71" s="179"/>
      <c r="E71" s="180"/>
      <c r="F71" s="177"/>
      <c r="G71" s="177"/>
      <c r="H71" s="177"/>
      <c r="I71" s="177"/>
      <c r="J71" s="177"/>
      <c r="K71" s="28"/>
      <c r="L71" s="202"/>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0"/>
      <c r="AY71" s="420"/>
      <c r="AZ71" s="420"/>
      <c r="BA71" s="420"/>
      <c r="BB71" s="420"/>
      <c r="BC71" s="420"/>
      <c r="BD71" s="420"/>
      <c r="BE71" s="420"/>
      <c r="BF71" s="420"/>
      <c r="BG71" s="420"/>
      <c r="BH71" s="420"/>
      <c r="BI71" s="420"/>
      <c r="BJ71" s="420"/>
      <c r="BK71" s="420"/>
      <c r="BL71" s="420"/>
      <c r="BM71" s="420"/>
      <c r="BN71" s="420"/>
      <c r="BO71" s="420"/>
      <c r="BP71" s="420"/>
      <c r="BQ71" s="420"/>
      <c r="BR71" s="420"/>
      <c r="BS71" s="420"/>
      <c r="BT71" s="420"/>
      <c r="CC71" s="473"/>
      <c r="CD71" s="473"/>
      <c r="CE71" s="465"/>
      <c r="CF71" s="466"/>
      <c r="CG71" s="420"/>
      <c r="CH71" s="420"/>
      <c r="CI71" s="202"/>
      <c r="CJ71" s="202"/>
      <c r="CK71" s="202"/>
      <c r="CL71" s="202"/>
      <c r="CM71" s="202"/>
      <c r="CN71" s="202"/>
      <c r="CO71" s="202"/>
      <c r="CP71" s="202"/>
      <c r="CQ71" s="202"/>
      <c r="CR71" s="202"/>
    </row>
    <row r="72" spans="1:96" s="204" customFormat="1" ht="15.75" customHeight="1" x14ac:dyDescent="0.3">
      <c r="A72" s="183"/>
      <c r="B72" s="177"/>
      <c r="C72" s="184"/>
      <c r="D72" s="179"/>
      <c r="E72" s="180"/>
      <c r="F72" s="177"/>
      <c r="G72" s="177"/>
      <c r="H72" s="177"/>
      <c r="I72" s="177"/>
      <c r="J72" s="177"/>
      <c r="K72" s="28"/>
      <c r="L72" s="202"/>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0"/>
      <c r="AY72" s="420"/>
      <c r="AZ72" s="420"/>
      <c r="BA72" s="420"/>
      <c r="BB72" s="420"/>
      <c r="BC72" s="420"/>
      <c r="BD72" s="420"/>
      <c r="BE72" s="420"/>
      <c r="BF72" s="420"/>
      <c r="BG72" s="420"/>
      <c r="BH72" s="420"/>
      <c r="BI72" s="420"/>
      <c r="BJ72" s="420"/>
      <c r="BK72" s="420"/>
      <c r="BL72" s="420"/>
      <c r="BM72" s="420"/>
      <c r="BN72" s="420"/>
      <c r="BO72" s="420"/>
      <c r="BP72" s="420"/>
      <c r="BQ72" s="420"/>
      <c r="BR72" s="420"/>
      <c r="BS72" s="420"/>
      <c r="BT72" s="420"/>
      <c r="CC72" s="473"/>
      <c r="CD72" s="473"/>
      <c r="CE72" s="465"/>
      <c r="CF72" s="466"/>
      <c r="CG72" s="420"/>
      <c r="CH72" s="420"/>
      <c r="CI72" s="202"/>
      <c r="CJ72" s="202"/>
      <c r="CK72" s="202"/>
      <c r="CL72" s="202"/>
      <c r="CM72" s="202"/>
      <c r="CN72" s="202"/>
      <c r="CO72" s="202"/>
      <c r="CP72" s="202"/>
      <c r="CQ72" s="202"/>
      <c r="CR72" s="202"/>
    </row>
    <row r="73" spans="1:96" s="204" customFormat="1" ht="15.75" customHeight="1" x14ac:dyDescent="0.3">
      <c r="A73" s="181"/>
      <c r="B73" s="177"/>
      <c r="C73" s="177"/>
      <c r="D73" s="315"/>
      <c r="E73" s="177"/>
      <c r="F73" s="177"/>
      <c r="G73" s="177"/>
      <c r="H73" s="177"/>
      <c r="I73" s="177"/>
      <c r="J73" s="177"/>
      <c r="K73" s="28"/>
      <c r="L73" s="202"/>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0"/>
      <c r="AY73" s="420"/>
      <c r="AZ73" s="420"/>
      <c r="BA73" s="420"/>
      <c r="BB73" s="420"/>
      <c r="BC73" s="420"/>
      <c r="BD73" s="420"/>
      <c r="BE73" s="420"/>
      <c r="BF73" s="420"/>
      <c r="BG73" s="420"/>
      <c r="BH73" s="420"/>
      <c r="BI73" s="420"/>
      <c r="BJ73" s="420"/>
      <c r="BK73" s="420"/>
      <c r="BL73" s="420"/>
      <c r="BM73" s="420"/>
      <c r="BN73" s="420"/>
      <c r="BO73" s="420"/>
      <c r="BP73" s="420"/>
      <c r="BQ73" s="420"/>
      <c r="BR73" s="420"/>
      <c r="BS73" s="420"/>
      <c r="BT73" s="420"/>
      <c r="CC73" s="473"/>
      <c r="CD73" s="473"/>
      <c r="CE73" s="465"/>
      <c r="CF73" s="466"/>
      <c r="CG73" s="420"/>
      <c r="CH73" s="420"/>
      <c r="CI73" s="202"/>
      <c r="CJ73" s="202"/>
      <c r="CK73" s="202"/>
      <c r="CL73" s="202"/>
      <c r="CM73" s="202"/>
      <c r="CN73" s="202"/>
      <c r="CO73" s="202"/>
      <c r="CP73" s="202"/>
      <c r="CQ73" s="202"/>
      <c r="CR73" s="202"/>
    </row>
    <row r="74" spans="1:96" s="204" customFormat="1" ht="15.75" customHeight="1" x14ac:dyDescent="0.3">
      <c r="A74" s="181"/>
      <c r="B74" s="177"/>
      <c r="C74" s="177"/>
      <c r="D74" s="315"/>
      <c r="E74" s="177"/>
      <c r="F74" s="177"/>
      <c r="G74" s="177"/>
      <c r="H74" s="177"/>
      <c r="I74" s="177"/>
      <c r="J74" s="177"/>
      <c r="K74" s="28"/>
      <c r="L74" s="202"/>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0"/>
      <c r="AY74" s="420"/>
      <c r="AZ74" s="420"/>
      <c r="BA74" s="420"/>
      <c r="BB74" s="420"/>
      <c r="BC74" s="420"/>
      <c r="BD74" s="420"/>
      <c r="BE74" s="420"/>
      <c r="BF74" s="420"/>
      <c r="BG74" s="420"/>
      <c r="BH74" s="420"/>
      <c r="BI74" s="420"/>
      <c r="BJ74" s="420"/>
      <c r="BK74" s="420"/>
      <c r="BL74" s="420"/>
      <c r="BM74" s="420"/>
      <c r="BN74" s="420"/>
      <c r="BO74" s="420"/>
      <c r="BP74" s="420"/>
      <c r="BQ74" s="420"/>
      <c r="BR74" s="420"/>
      <c r="BS74" s="420"/>
      <c r="BT74" s="420"/>
      <c r="CC74" s="473"/>
      <c r="CD74" s="473"/>
      <c r="CE74" s="465"/>
      <c r="CF74" s="466"/>
      <c r="CG74" s="420"/>
      <c r="CH74" s="420"/>
      <c r="CI74" s="202"/>
      <c r="CJ74" s="202"/>
      <c r="CK74" s="202"/>
      <c r="CL74" s="202"/>
      <c r="CM74" s="202"/>
      <c r="CN74" s="202"/>
      <c r="CO74" s="202"/>
      <c r="CP74" s="202"/>
      <c r="CQ74" s="202"/>
      <c r="CR74" s="202"/>
    </row>
    <row r="75" spans="1:96" s="204" customFormat="1" ht="15.75" customHeight="1" x14ac:dyDescent="0.25">
      <c r="A75" s="11"/>
      <c r="B75" s="11"/>
      <c r="C75" s="11"/>
      <c r="D75" s="10"/>
      <c r="E75" s="11"/>
      <c r="F75" s="11"/>
      <c r="G75" s="11"/>
      <c r="H75" s="11"/>
      <c r="I75" s="11"/>
      <c r="J75" s="11"/>
      <c r="K75" s="28"/>
      <c r="L75" s="202"/>
      <c r="M75" s="420"/>
      <c r="N75" s="420"/>
      <c r="O75" s="420"/>
      <c r="P75" s="420"/>
      <c r="Q75" s="420"/>
      <c r="R75" s="420"/>
      <c r="S75" s="420" t="s">
        <v>275</v>
      </c>
      <c r="T75" s="420"/>
      <c r="U75" s="420"/>
      <c r="V75" s="420"/>
      <c r="W75" s="420"/>
      <c r="X75" s="420"/>
      <c r="Y75" s="420"/>
      <c r="Z75" s="420"/>
      <c r="AA75" s="420"/>
      <c r="AB75" s="420"/>
      <c r="AC75" s="420"/>
      <c r="AD75" s="420"/>
      <c r="AE75" s="420"/>
      <c r="AF75" s="420"/>
      <c r="AG75" s="420"/>
      <c r="AH75" s="420"/>
      <c r="AI75" s="420"/>
      <c r="AJ75" s="420"/>
      <c r="AK75" s="420"/>
      <c r="AL75" s="420"/>
      <c r="AM75" s="420"/>
      <c r="AN75" s="420"/>
      <c r="AO75" s="420"/>
      <c r="AP75" s="420"/>
      <c r="AQ75" s="420"/>
      <c r="AR75" s="420"/>
      <c r="AS75" s="420"/>
      <c r="AT75" s="420"/>
      <c r="AU75" s="420"/>
      <c r="AV75" s="420"/>
      <c r="AW75" s="420"/>
      <c r="AX75" s="420"/>
      <c r="AY75" s="420"/>
      <c r="AZ75" s="420"/>
      <c r="BA75" s="420"/>
      <c r="BB75" s="420"/>
      <c r="BC75" s="420"/>
      <c r="BD75" s="420"/>
      <c r="BE75" s="420"/>
      <c r="BF75" s="420"/>
      <c r="BG75" s="420"/>
      <c r="BH75" s="420"/>
      <c r="BI75" s="420"/>
      <c r="BJ75" s="420"/>
      <c r="BK75" s="420"/>
      <c r="BL75" s="420"/>
      <c r="BM75" s="420"/>
      <c r="BN75" s="420"/>
      <c r="BO75" s="420"/>
      <c r="BP75" s="420"/>
      <c r="BQ75" s="420"/>
      <c r="BR75" s="420"/>
      <c r="BS75" s="420"/>
      <c r="BT75" s="420"/>
      <c r="CC75" s="473"/>
      <c r="CD75" s="473"/>
      <c r="CE75" s="465"/>
      <c r="CF75" s="466"/>
      <c r="CG75" s="420"/>
      <c r="CH75" s="420"/>
      <c r="CI75" s="202"/>
      <c r="CJ75" s="202"/>
      <c r="CK75" s="202"/>
      <c r="CL75" s="202"/>
      <c r="CM75" s="202"/>
      <c r="CN75" s="202"/>
      <c r="CO75" s="202"/>
      <c r="CP75" s="202"/>
      <c r="CQ75" s="202"/>
      <c r="CR75" s="202"/>
    </row>
    <row r="76" spans="1:96" s="204" customFormat="1" ht="15.75" customHeight="1" x14ac:dyDescent="0.3">
      <c r="A76" s="178"/>
      <c r="B76" s="177"/>
      <c r="C76" s="177"/>
      <c r="D76" s="315"/>
      <c r="E76" s="177"/>
      <c r="F76" s="177"/>
      <c r="G76" s="177"/>
      <c r="H76" s="177"/>
      <c r="I76" s="177"/>
      <c r="J76" s="177"/>
      <c r="K76" s="28"/>
      <c r="L76" s="202"/>
      <c r="M76" s="420"/>
      <c r="N76" s="420"/>
      <c r="O76" s="420"/>
      <c r="P76" s="420"/>
      <c r="Q76" s="420"/>
      <c r="R76" s="420"/>
      <c r="S76" s="420" t="s">
        <v>270</v>
      </c>
      <c r="T76" s="420" t="s">
        <v>271</v>
      </c>
      <c r="U76" s="420"/>
      <c r="V76" s="420"/>
      <c r="W76" s="420"/>
      <c r="X76" s="420"/>
      <c r="Y76" s="420"/>
      <c r="Z76" s="420"/>
      <c r="AA76" s="420"/>
      <c r="AB76" s="420"/>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0"/>
      <c r="BD76" s="420"/>
      <c r="BE76" s="420"/>
      <c r="BF76" s="420"/>
      <c r="BG76" s="420"/>
      <c r="BH76" s="420"/>
      <c r="BI76" s="420"/>
      <c r="BJ76" s="420"/>
      <c r="BK76" s="420"/>
      <c r="BL76" s="420"/>
      <c r="BM76" s="420"/>
      <c r="BN76" s="420"/>
      <c r="BO76" s="420"/>
      <c r="BP76" s="420"/>
      <c r="BQ76" s="420"/>
      <c r="BR76" s="420"/>
      <c r="BS76" s="420"/>
      <c r="BT76" s="420"/>
      <c r="CC76" s="473"/>
      <c r="CD76" s="473"/>
      <c r="CE76" s="465"/>
      <c r="CF76" s="466"/>
      <c r="CG76" s="420"/>
      <c r="CH76" s="420"/>
      <c r="CI76" s="202"/>
      <c r="CJ76" s="202"/>
      <c r="CK76" s="202"/>
      <c r="CL76" s="202"/>
      <c r="CM76" s="202"/>
      <c r="CN76" s="202"/>
      <c r="CO76" s="202"/>
      <c r="CP76" s="202"/>
      <c r="CQ76" s="202"/>
      <c r="CR76" s="202"/>
    </row>
    <row r="77" spans="1:96" s="204" customFormat="1" ht="15.75" customHeight="1" thickBot="1" x14ac:dyDescent="0.35">
      <c r="A77" s="178"/>
      <c r="B77" s="177"/>
      <c r="C77" s="177"/>
      <c r="D77" s="315"/>
      <c r="E77" s="177"/>
      <c r="F77" s="177"/>
      <c r="G77" s="177"/>
      <c r="H77" s="177"/>
      <c r="I77" s="177"/>
      <c r="J77" s="177"/>
      <c r="K77" s="28"/>
      <c r="L77" s="202"/>
      <c r="M77" s="420"/>
      <c r="N77" s="420"/>
      <c r="O77" s="420"/>
      <c r="P77" s="502" t="s">
        <v>159</v>
      </c>
      <c r="Q77" s="502" t="s">
        <v>238</v>
      </c>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0"/>
      <c r="AY77" s="420"/>
      <c r="AZ77" s="420"/>
      <c r="BA77" s="420"/>
      <c r="BB77" s="420"/>
      <c r="BC77" s="420"/>
      <c r="BD77" s="420"/>
      <c r="BE77" s="420"/>
      <c r="BF77" s="420"/>
      <c r="BG77" s="420"/>
      <c r="BH77" s="420"/>
      <c r="BI77" s="420"/>
      <c r="BJ77" s="420"/>
      <c r="BK77" s="420"/>
      <c r="BL77" s="420"/>
      <c r="BM77" s="420"/>
      <c r="BN77" s="420"/>
      <c r="BO77" s="420"/>
      <c r="BP77" s="420"/>
      <c r="BQ77" s="420"/>
      <c r="BR77" s="420"/>
      <c r="BS77" s="420"/>
      <c r="BT77" s="420"/>
      <c r="CC77" s="473"/>
      <c r="CD77" s="473"/>
      <c r="CE77" s="465"/>
      <c r="CF77" s="466"/>
      <c r="CG77" s="420"/>
      <c r="CH77" s="420"/>
      <c r="CI77" s="202"/>
      <c r="CJ77" s="202"/>
      <c r="CK77" s="202"/>
      <c r="CL77" s="202"/>
      <c r="CM77" s="202"/>
      <c r="CN77" s="202"/>
      <c r="CO77" s="202"/>
      <c r="CP77" s="202"/>
      <c r="CQ77" s="202"/>
      <c r="CR77" s="202"/>
    </row>
    <row r="78" spans="1:96" s="297" customFormat="1" ht="15.75" customHeight="1" x14ac:dyDescent="0.25">
      <c r="A78" s="354" t="s">
        <v>224</v>
      </c>
      <c r="B78" s="372">
        <f>M78</f>
        <v>0</v>
      </c>
      <c r="C78" s="347"/>
      <c r="D78" s="354" t="s">
        <v>224</v>
      </c>
      <c r="E78" s="356"/>
      <c r="F78" s="372">
        <f>B61-B78-J78</f>
        <v>0</v>
      </c>
      <c r="G78" s="347"/>
      <c r="H78" s="354" t="s">
        <v>225</v>
      </c>
      <c r="I78" s="356"/>
      <c r="J78" s="372" t="str">
        <f>P78</f>
        <v>0</v>
      </c>
      <c r="K78" s="28"/>
      <c r="L78" s="202"/>
      <c r="M78" s="503">
        <f>B61*C65/100</f>
        <v>0</v>
      </c>
      <c r="N78" s="504">
        <f>B61-B78-J78</f>
        <v>0</v>
      </c>
      <c r="O78" s="505"/>
      <c r="P78" s="504" t="str">
        <f>IF(F79+J79=0,"0",B61*D65/100*((N61-F79)/(J79-F79)))</f>
        <v>0</v>
      </c>
      <c r="Q78" s="506">
        <f>P78*(1/0.9)</f>
        <v>0</v>
      </c>
      <c r="R78" s="420"/>
      <c r="S78" s="420">
        <f>IF(Q78=0,0,Q78*P51)</f>
        <v>0</v>
      </c>
      <c r="T78" s="420">
        <f>IF(Q78=0,0,Q78*R51)</f>
        <v>0</v>
      </c>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0"/>
      <c r="AY78" s="420"/>
      <c r="AZ78" s="420"/>
      <c r="BA78" s="420"/>
      <c r="BB78" s="420"/>
      <c r="BC78" s="420"/>
      <c r="BD78" s="420"/>
      <c r="BE78" s="420"/>
      <c r="BF78" s="420"/>
      <c r="BG78" s="420"/>
      <c r="BH78" s="420"/>
      <c r="BI78" s="420"/>
      <c r="BJ78" s="420"/>
      <c r="BK78" s="420"/>
      <c r="BL78" s="420"/>
      <c r="BM78" s="420"/>
      <c r="BN78" s="420"/>
      <c r="BO78" s="420"/>
      <c r="BP78" s="420"/>
      <c r="BQ78" s="420"/>
      <c r="BR78" s="420"/>
      <c r="BS78" s="420"/>
      <c r="BT78" s="420"/>
      <c r="CC78" s="472">
        <v>6</v>
      </c>
      <c r="CD78" s="472">
        <v>6</v>
      </c>
      <c r="CE78" s="507">
        <f>IF(Q78=" ",0,CC78*Q78)</f>
        <v>0</v>
      </c>
      <c r="CF78" s="508">
        <f>IF(Q78=" ",0,CD78*Q78)</f>
        <v>0</v>
      </c>
      <c r="CG78" s="420"/>
      <c r="CH78" s="420"/>
      <c r="CI78" s="202"/>
      <c r="CJ78" s="202"/>
      <c r="CK78" s="202"/>
      <c r="CL78" s="202"/>
      <c r="CM78" s="202"/>
      <c r="CN78" s="202"/>
      <c r="CO78" s="202"/>
      <c r="CP78" s="202"/>
      <c r="CQ78" s="202"/>
      <c r="CR78" s="202"/>
    </row>
    <row r="79" spans="1:96" s="297" customFormat="1" ht="15.75" customHeight="1" thickBot="1" x14ac:dyDescent="0.3">
      <c r="A79" s="355" t="s">
        <v>226</v>
      </c>
      <c r="B79" s="373">
        <f>N61</f>
        <v>0</v>
      </c>
      <c r="C79" s="347"/>
      <c r="D79" s="1021" t="s">
        <v>226</v>
      </c>
      <c r="E79" s="1022"/>
      <c r="F79" s="357"/>
      <c r="G79" s="347"/>
      <c r="H79" s="1021" t="s">
        <v>226</v>
      </c>
      <c r="I79" s="1022"/>
      <c r="J79" s="357"/>
      <c r="K79" s="28"/>
      <c r="L79" s="202"/>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c r="AO79" s="420"/>
      <c r="AP79" s="420"/>
      <c r="AQ79" s="420"/>
      <c r="AR79" s="420"/>
      <c r="AS79" s="420"/>
      <c r="AT79" s="420"/>
      <c r="AU79" s="420"/>
      <c r="AV79" s="420"/>
      <c r="AW79" s="420"/>
      <c r="AX79" s="420"/>
      <c r="AY79" s="420"/>
      <c r="AZ79" s="420"/>
      <c r="BA79" s="420"/>
      <c r="BB79" s="420"/>
      <c r="BC79" s="420"/>
      <c r="BD79" s="420"/>
      <c r="BE79" s="420"/>
      <c r="BF79" s="420"/>
      <c r="BG79" s="420"/>
      <c r="BH79" s="420"/>
      <c r="BI79" s="420"/>
      <c r="BJ79" s="420"/>
      <c r="BK79" s="420"/>
      <c r="BL79" s="420"/>
      <c r="BM79" s="420"/>
      <c r="BN79" s="420"/>
      <c r="BO79" s="420"/>
      <c r="BP79" s="420"/>
      <c r="BQ79" s="420"/>
      <c r="BR79" s="420"/>
      <c r="BS79" s="420"/>
      <c r="BT79" s="420"/>
      <c r="CC79" s="473"/>
      <c r="CD79" s="473"/>
      <c r="CE79" s="500"/>
      <c r="CF79" s="501"/>
      <c r="CG79" s="420"/>
      <c r="CH79" s="420"/>
      <c r="CI79" s="202"/>
      <c r="CJ79" s="202"/>
      <c r="CK79" s="202"/>
      <c r="CL79" s="202"/>
      <c r="CM79" s="202"/>
      <c r="CN79" s="202"/>
      <c r="CO79" s="202"/>
      <c r="CP79" s="202"/>
      <c r="CQ79" s="202"/>
      <c r="CR79" s="202"/>
    </row>
    <row r="80" spans="1:96" s="297" customFormat="1" ht="15.75" customHeight="1" x14ac:dyDescent="0.25">
      <c r="A80" s="298"/>
      <c r="B80" s="298"/>
      <c r="C80" s="298"/>
      <c r="D80" s="298"/>
      <c r="E80" s="298"/>
      <c r="F80" s="298"/>
      <c r="G80" s="298"/>
      <c r="H80" s="298"/>
      <c r="I80" s="298"/>
      <c r="J80" s="28"/>
      <c r="K80" s="28"/>
      <c r="L80" s="202"/>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0"/>
      <c r="BD80" s="420"/>
      <c r="BE80" s="420"/>
      <c r="BF80" s="420"/>
      <c r="BG80" s="420"/>
      <c r="BH80" s="420"/>
      <c r="BI80" s="420"/>
      <c r="BJ80" s="420"/>
      <c r="BK80" s="420"/>
      <c r="BL80" s="420"/>
      <c r="BM80" s="420"/>
      <c r="BN80" s="420"/>
      <c r="BO80" s="420"/>
      <c r="BP80" s="420"/>
      <c r="BQ80" s="420"/>
      <c r="BR80" s="420"/>
      <c r="BS80" s="420"/>
      <c r="BT80" s="420"/>
      <c r="CC80" s="473"/>
      <c r="CD80" s="473"/>
      <c r="CE80" s="465"/>
      <c r="CF80" s="466"/>
      <c r="CG80" s="420"/>
      <c r="CH80" s="420"/>
      <c r="CI80" s="202"/>
      <c r="CJ80" s="202"/>
      <c r="CK80" s="202"/>
      <c r="CL80" s="202"/>
      <c r="CM80" s="202"/>
      <c r="CN80" s="202"/>
      <c r="CO80" s="202"/>
      <c r="CP80" s="202"/>
      <c r="CQ80" s="202"/>
      <c r="CR80" s="202"/>
    </row>
    <row r="81" spans="1:96" s="297" customFormat="1" ht="15.75" customHeight="1" thickBot="1" x14ac:dyDescent="0.3">
      <c r="A81" s="298"/>
      <c r="B81" s="298"/>
      <c r="C81" s="298"/>
      <c r="D81" s="298"/>
      <c r="E81" s="298"/>
      <c r="F81" s="298"/>
      <c r="G81" s="298"/>
      <c r="H81" s="298"/>
      <c r="I81" s="298"/>
      <c r="J81" s="28"/>
      <c r="K81" s="28"/>
      <c r="L81" s="202"/>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0"/>
      <c r="AY81" s="420"/>
      <c r="AZ81" s="420"/>
      <c r="BA81" s="420"/>
      <c r="BB81" s="420"/>
      <c r="BC81" s="420"/>
      <c r="BD81" s="420"/>
      <c r="BE81" s="420"/>
      <c r="BF81" s="420"/>
      <c r="BG81" s="420"/>
      <c r="BH81" s="420"/>
      <c r="BI81" s="420"/>
      <c r="BJ81" s="420"/>
      <c r="BK81" s="420"/>
      <c r="BL81" s="420"/>
      <c r="BM81" s="420"/>
      <c r="BN81" s="420"/>
      <c r="BO81" s="420"/>
      <c r="BP81" s="420"/>
      <c r="BQ81" s="420"/>
      <c r="BR81" s="420"/>
      <c r="BS81" s="420"/>
      <c r="BT81" s="420"/>
      <c r="CC81" s="473"/>
      <c r="CD81" s="473"/>
      <c r="CE81" s="465"/>
      <c r="CF81" s="466"/>
      <c r="CG81" s="420"/>
      <c r="CH81" s="420"/>
      <c r="CI81" s="202"/>
      <c r="CJ81" s="202"/>
      <c r="CK81" s="202"/>
      <c r="CL81" s="202"/>
      <c r="CM81" s="202"/>
      <c r="CN81" s="202"/>
      <c r="CO81" s="202"/>
      <c r="CP81" s="202"/>
      <c r="CQ81" s="202"/>
      <c r="CR81" s="202"/>
    </row>
    <row r="82" spans="1:96" s="300" customFormat="1" x14ac:dyDescent="0.25">
      <c r="A82" s="299"/>
      <c r="B82" s="299"/>
      <c r="C82" s="299"/>
      <c r="D82" s="299"/>
      <c r="E82" s="299"/>
      <c r="F82" s="299"/>
      <c r="G82" s="299"/>
      <c r="H82" s="299"/>
      <c r="I82" s="1029" t="s">
        <v>50</v>
      </c>
      <c r="J82" s="1030"/>
      <c r="K82" s="299"/>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c r="BG82" s="407"/>
      <c r="BH82" s="407"/>
      <c r="BI82" s="407"/>
      <c r="BJ82" s="407"/>
      <c r="BK82" s="407"/>
      <c r="BL82" s="407"/>
      <c r="BM82" s="407"/>
      <c r="BN82" s="407"/>
      <c r="BO82" s="407"/>
      <c r="BP82" s="407"/>
      <c r="BQ82" s="407"/>
      <c r="BR82" s="407"/>
      <c r="BS82" s="407"/>
      <c r="BT82" s="407"/>
      <c r="CC82" s="509"/>
      <c r="CD82" s="509"/>
      <c r="CE82" s="465"/>
      <c r="CF82" s="466"/>
      <c r="CG82" s="407"/>
      <c r="CH82" s="407"/>
    </row>
    <row r="83" spans="1:96" s="300" customFormat="1" x14ac:dyDescent="0.25">
      <c r="A83" s="299"/>
      <c r="B83" s="299"/>
      <c r="C83" s="299"/>
      <c r="D83" s="299"/>
      <c r="E83" s="299"/>
      <c r="F83" s="299"/>
      <c r="G83" s="299"/>
      <c r="H83" s="299"/>
      <c r="I83" s="301" t="s">
        <v>157</v>
      </c>
      <c r="J83" s="302" t="s">
        <v>158</v>
      </c>
      <c r="K83" s="299"/>
      <c r="M83" s="407"/>
      <c r="N83" s="407"/>
      <c r="O83" s="407"/>
      <c r="P83" s="407"/>
      <c r="Q83" s="407"/>
      <c r="R83" s="407"/>
      <c r="S83" s="420" t="s">
        <v>276</v>
      </c>
      <c r="T83" s="420"/>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c r="BG83" s="407"/>
      <c r="BH83" s="407"/>
      <c r="BI83" s="407"/>
      <c r="BJ83" s="407"/>
      <c r="BK83" s="407"/>
      <c r="BL83" s="407"/>
      <c r="BM83" s="407"/>
      <c r="BN83" s="407"/>
      <c r="BO83" s="407"/>
      <c r="BP83" s="407"/>
      <c r="BQ83" s="407"/>
      <c r="BR83" s="407"/>
      <c r="BS83" s="407"/>
      <c r="BT83" s="407"/>
      <c r="CC83" s="509"/>
      <c r="CD83" s="509"/>
      <c r="CE83" s="465"/>
      <c r="CF83" s="466"/>
      <c r="CG83" s="407"/>
      <c r="CH83" s="407"/>
    </row>
    <row r="84" spans="1:96" s="297" customFormat="1" ht="15.75" customHeight="1" thickBot="1" x14ac:dyDescent="0.3">
      <c r="A84" s="191"/>
      <c r="B84" s="191"/>
      <c r="C84" s="191"/>
      <c r="D84" s="153"/>
      <c r="E84" s="153"/>
      <c r="F84" s="153"/>
      <c r="G84" s="153"/>
      <c r="H84" s="153"/>
      <c r="I84" s="193" t="s">
        <v>229</v>
      </c>
      <c r="J84" s="194" t="s">
        <v>229</v>
      </c>
      <c r="K84" s="28"/>
      <c r="L84" s="202"/>
      <c r="M84" s="420"/>
      <c r="N84" s="478"/>
      <c r="O84" s="420"/>
      <c r="P84" s="420"/>
      <c r="Q84" s="420"/>
      <c r="R84" s="420"/>
      <c r="S84" s="420" t="s">
        <v>270</v>
      </c>
      <c r="T84" s="420" t="s">
        <v>271</v>
      </c>
      <c r="U84" s="420"/>
      <c r="V84" s="420"/>
      <c r="W84" s="420"/>
      <c r="X84" s="420"/>
      <c r="Y84" s="420"/>
      <c r="Z84" s="420"/>
      <c r="AA84" s="420"/>
      <c r="AB84" s="420"/>
      <c r="AC84" s="420"/>
      <c r="AD84" s="420"/>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0"/>
      <c r="BD84" s="420"/>
      <c r="BE84" s="420"/>
      <c r="BF84" s="420"/>
      <c r="BG84" s="420"/>
      <c r="BH84" s="420"/>
      <c r="BI84" s="420"/>
      <c r="BJ84" s="420"/>
      <c r="BK84" s="420"/>
      <c r="BL84" s="420"/>
      <c r="BM84" s="420"/>
      <c r="BN84" s="420"/>
      <c r="BO84" s="420"/>
      <c r="BP84" s="420"/>
      <c r="BQ84" s="420"/>
      <c r="BR84" s="420"/>
      <c r="BS84" s="420"/>
      <c r="BT84" s="420"/>
      <c r="CC84" s="473"/>
      <c r="CD84" s="473"/>
      <c r="CE84" s="465"/>
      <c r="CF84" s="466"/>
      <c r="CG84" s="420"/>
      <c r="CH84" s="420"/>
      <c r="CI84" s="202"/>
      <c r="CJ84" s="202"/>
      <c r="CK84" s="202"/>
      <c r="CL84" s="202"/>
      <c r="CM84" s="202"/>
      <c r="CN84" s="202"/>
      <c r="CO84" s="202"/>
      <c r="CP84" s="202"/>
      <c r="CQ84" s="202"/>
      <c r="CR84" s="202"/>
    </row>
    <row r="85" spans="1:96" s="297" customFormat="1" ht="15.75" customHeight="1" thickBot="1" x14ac:dyDescent="0.3">
      <c r="A85" s="2" t="s">
        <v>149</v>
      </c>
      <c r="B85" s="303"/>
      <c r="C85" s="303"/>
      <c r="D85" s="304"/>
      <c r="E85" s="304"/>
      <c r="F85" s="304"/>
      <c r="G85" s="304"/>
      <c r="H85" s="305"/>
      <c r="I85" s="535"/>
      <c r="J85" s="374" t="str">
        <f>IF(N85=0," ",N85)</f>
        <v xml:space="preserve"> </v>
      </c>
      <c r="K85" s="28"/>
      <c r="L85" s="202"/>
      <c r="M85" s="506">
        <f>B78+F78</f>
        <v>0</v>
      </c>
      <c r="N85" s="506">
        <f>N49+J78</f>
        <v>0</v>
      </c>
      <c r="O85" s="420"/>
      <c r="P85" s="420"/>
      <c r="Q85" s="420"/>
      <c r="R85" s="420"/>
      <c r="S85" s="420">
        <f>IF(M85=0,0,M85*P51)</f>
        <v>0</v>
      </c>
      <c r="T85" s="420">
        <f>IF(M85=0,0,M85*R51)</f>
        <v>0</v>
      </c>
      <c r="U85" s="420"/>
      <c r="V85" s="420"/>
      <c r="W85" s="420"/>
      <c r="X85" s="420"/>
      <c r="Y85" s="420"/>
      <c r="Z85" s="420"/>
      <c r="AA85" s="420"/>
      <c r="AB85" s="420"/>
      <c r="AC85" s="420"/>
      <c r="AD85" s="420"/>
      <c r="AE85" s="420"/>
      <c r="AF85" s="420"/>
      <c r="AG85" s="420"/>
      <c r="AH85" s="420"/>
      <c r="AI85" s="420"/>
      <c r="AJ85" s="420"/>
      <c r="AK85" s="420"/>
      <c r="AL85" s="420"/>
      <c r="AM85" s="420"/>
      <c r="AN85" s="420"/>
      <c r="AO85" s="420"/>
      <c r="AP85" s="420"/>
      <c r="AQ85" s="420"/>
      <c r="AR85" s="420"/>
      <c r="AS85" s="420"/>
      <c r="AT85" s="420"/>
      <c r="AU85" s="420"/>
      <c r="AV85" s="420"/>
      <c r="AW85" s="420"/>
      <c r="AX85" s="420"/>
      <c r="AY85" s="420"/>
      <c r="AZ85" s="420"/>
      <c r="BA85" s="420"/>
      <c r="BB85" s="420"/>
      <c r="BC85" s="420"/>
      <c r="BD85" s="420"/>
      <c r="BE85" s="420"/>
      <c r="BF85" s="420"/>
      <c r="BG85" s="420"/>
      <c r="BH85" s="420"/>
      <c r="BI85" s="420"/>
      <c r="BJ85" s="420"/>
      <c r="BK85" s="420"/>
      <c r="BL85" s="420"/>
      <c r="BM85" s="420"/>
      <c r="BN85" s="420"/>
      <c r="BO85" s="420"/>
      <c r="BP85" s="420"/>
      <c r="BQ85" s="420"/>
      <c r="BR85" s="420"/>
      <c r="BS85" s="420"/>
      <c r="BT85" s="420"/>
      <c r="CC85" s="473"/>
      <c r="CD85" s="473"/>
      <c r="CE85" s="465"/>
      <c r="CF85" s="466"/>
      <c r="CG85" s="420"/>
      <c r="CH85" s="420"/>
      <c r="CI85" s="202"/>
      <c r="CJ85" s="202"/>
      <c r="CK85" s="202"/>
      <c r="CL85" s="202"/>
      <c r="CM85" s="202"/>
      <c r="CN85" s="202"/>
      <c r="CO85" s="202"/>
      <c r="CP85" s="202"/>
      <c r="CQ85" s="202"/>
      <c r="CR85" s="202"/>
    </row>
    <row r="86" spans="1:96" s="297" customFormat="1" ht="15.75" customHeight="1" thickBot="1" x14ac:dyDescent="0.3">
      <c r="A86" s="306" t="s">
        <v>167</v>
      </c>
      <c r="B86" s="307"/>
      <c r="C86" s="307"/>
      <c r="D86" s="308"/>
      <c r="E86" s="308"/>
      <c r="F86" s="308"/>
      <c r="G86" s="308"/>
      <c r="H86" s="309"/>
      <c r="I86" s="375" t="str">
        <f>IF(M85=0," ",M85)</f>
        <v xml:space="preserve"> </v>
      </c>
      <c r="J86" s="375" t="str">
        <f>IF(N86=0," ",N86)</f>
        <v xml:space="preserve"> </v>
      </c>
      <c r="K86" s="28"/>
      <c r="L86" s="202"/>
      <c r="M86" s="469"/>
      <c r="N86" s="481">
        <f>N50+J78*(1/0.9)</f>
        <v>0</v>
      </c>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20"/>
      <c r="AL86" s="420"/>
      <c r="AM86" s="420"/>
      <c r="AN86" s="420"/>
      <c r="AO86" s="420"/>
      <c r="AP86" s="420"/>
      <c r="AQ86" s="420"/>
      <c r="AR86" s="420"/>
      <c r="AS86" s="420"/>
      <c r="AT86" s="420"/>
      <c r="AU86" s="420"/>
      <c r="AV86" s="420"/>
      <c r="AW86" s="420"/>
      <c r="AX86" s="420"/>
      <c r="AY86" s="420"/>
      <c r="AZ86" s="420"/>
      <c r="BA86" s="420"/>
      <c r="BB86" s="420"/>
      <c r="BC86" s="420"/>
      <c r="BD86" s="420"/>
      <c r="BE86" s="420"/>
      <c r="BF86" s="420"/>
      <c r="BG86" s="420"/>
      <c r="BH86" s="420"/>
      <c r="BI86" s="420"/>
      <c r="BJ86" s="420"/>
      <c r="BK86" s="420"/>
      <c r="BL86" s="420"/>
      <c r="BM86" s="420"/>
      <c r="BN86" s="420"/>
      <c r="BO86" s="420"/>
      <c r="BP86" s="420"/>
      <c r="BQ86" s="420"/>
      <c r="BR86" s="420"/>
      <c r="BS86" s="420"/>
      <c r="BT86" s="420"/>
      <c r="CC86" s="432"/>
      <c r="CD86" s="432"/>
      <c r="CE86" s="448"/>
      <c r="CF86" s="449"/>
      <c r="CG86" s="420"/>
      <c r="CH86" s="420"/>
      <c r="CI86" s="202"/>
      <c r="CJ86" s="202"/>
      <c r="CK86" s="202"/>
      <c r="CL86" s="202"/>
      <c r="CM86" s="202"/>
      <c r="CN86" s="202"/>
      <c r="CO86" s="202"/>
      <c r="CP86" s="202"/>
      <c r="CQ86" s="202"/>
      <c r="CR86" s="202"/>
    </row>
    <row r="87" spans="1:96" s="297" customFormat="1" ht="26.25" customHeight="1" x14ac:dyDescent="0.25">
      <c r="A87" s="191"/>
      <c r="B87" s="191"/>
      <c r="C87" s="191"/>
      <c r="D87" s="153"/>
      <c r="E87" s="153"/>
      <c r="F87" s="153"/>
      <c r="G87" s="153"/>
      <c r="H87" s="153"/>
      <c r="I87" s="155"/>
      <c r="J87" s="155"/>
      <c r="K87" s="28"/>
      <c r="L87" s="202"/>
      <c r="M87" s="420"/>
      <c r="N87" s="478"/>
      <c r="O87" s="420"/>
      <c r="P87" s="420"/>
      <c r="Q87" s="420"/>
      <c r="R87" s="420"/>
      <c r="S87" s="420"/>
      <c r="T87" s="420"/>
      <c r="U87" s="420"/>
      <c r="V87" s="420"/>
      <c r="W87" s="420"/>
      <c r="X87" s="420"/>
      <c r="Y87" s="420"/>
      <c r="Z87" s="420"/>
      <c r="AA87" s="420"/>
      <c r="AB87" s="420"/>
      <c r="AC87" s="420"/>
      <c r="AD87" s="420"/>
      <c r="AE87" s="420"/>
      <c r="AF87" s="420"/>
      <c r="AG87" s="420"/>
      <c r="AH87" s="420"/>
      <c r="AI87" s="420"/>
      <c r="AJ87" s="420"/>
      <c r="AK87" s="420"/>
      <c r="AL87" s="420"/>
      <c r="AM87" s="420"/>
      <c r="AN87" s="420"/>
      <c r="AO87" s="420"/>
      <c r="AP87" s="420"/>
      <c r="AQ87" s="420"/>
      <c r="AR87" s="420"/>
      <c r="AS87" s="420"/>
      <c r="AT87" s="420"/>
      <c r="AU87" s="420"/>
      <c r="AV87" s="420"/>
      <c r="AW87" s="420"/>
      <c r="AX87" s="420"/>
      <c r="AY87" s="420"/>
      <c r="AZ87" s="420"/>
      <c r="BA87" s="420"/>
      <c r="BB87" s="420"/>
      <c r="BC87" s="420"/>
      <c r="BD87" s="420"/>
      <c r="BE87" s="420"/>
      <c r="BF87" s="420"/>
      <c r="BG87" s="420"/>
      <c r="BH87" s="420"/>
      <c r="BI87" s="420"/>
      <c r="BJ87" s="420"/>
      <c r="BK87" s="420"/>
      <c r="BL87" s="420"/>
      <c r="BM87" s="420"/>
      <c r="BN87" s="420"/>
      <c r="BO87" s="420"/>
      <c r="BP87" s="420"/>
      <c r="BQ87" s="420"/>
      <c r="BR87" s="420"/>
      <c r="BS87" s="420"/>
      <c r="BT87" s="420"/>
      <c r="CC87" s="472"/>
      <c r="CD87" s="472"/>
      <c r="CE87" s="448">
        <f>SUM(CE25:CE86)</f>
        <v>0</v>
      </c>
      <c r="CF87" s="448">
        <f>SUM(CF25:CF86)</f>
        <v>0</v>
      </c>
      <c r="CG87" s="420"/>
      <c r="CH87" s="420"/>
      <c r="CI87" s="202"/>
      <c r="CJ87" s="202"/>
      <c r="CK87" s="202"/>
      <c r="CL87" s="202"/>
      <c r="CM87" s="202"/>
      <c r="CN87" s="202"/>
      <c r="CO87" s="202"/>
      <c r="CP87" s="202"/>
      <c r="CQ87" s="202"/>
      <c r="CR87" s="202"/>
    </row>
    <row r="88" spans="1:96" s="297" customFormat="1" ht="15.75" hidden="1" customHeight="1" x14ac:dyDescent="0.25">
      <c r="A88" s="572" t="s">
        <v>291</v>
      </c>
      <c r="B88" s="573"/>
      <c r="C88" s="573"/>
      <c r="D88" s="577" t="str">
        <f>IF(CR42&gt;0,IF(D89&lt;0.1,"Flächenangabe fehlt"," ")," ")</f>
        <v xml:space="preserve"> </v>
      </c>
      <c r="E88" s="574"/>
      <c r="F88" s="153"/>
      <c r="G88" s="153"/>
      <c r="H88" s="153"/>
      <c r="I88" s="155"/>
      <c r="J88" s="155"/>
      <c r="K88" s="28"/>
      <c r="L88" s="202"/>
      <c r="M88" s="420"/>
      <c r="N88" s="478"/>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0"/>
      <c r="BD88" s="420"/>
      <c r="BE88" s="420"/>
      <c r="BF88" s="420"/>
      <c r="BG88" s="420"/>
      <c r="BH88" s="420"/>
      <c r="BI88" s="420"/>
      <c r="BJ88" s="420"/>
      <c r="BK88" s="420"/>
      <c r="BL88" s="420"/>
      <c r="BM88" s="420"/>
      <c r="BN88" s="420"/>
      <c r="BO88" s="420"/>
      <c r="BP88" s="420"/>
      <c r="BQ88" s="420"/>
      <c r="BR88" s="420"/>
      <c r="BS88" s="420"/>
      <c r="BT88" s="420"/>
      <c r="CC88" s="476"/>
      <c r="CD88" s="476"/>
      <c r="CE88" s="565">
        <f>IF(N86=0,0,CE87/(N50+Q78))</f>
        <v>0</v>
      </c>
      <c r="CF88" s="566">
        <f>IF(N86=0,0,CF87/(N50+Q78))</f>
        <v>0</v>
      </c>
      <c r="CG88" s="420"/>
      <c r="CH88" s="420"/>
      <c r="CI88" s="202"/>
      <c r="CJ88" s="202"/>
      <c r="CK88" s="202"/>
      <c r="CL88" s="202"/>
      <c r="CM88" s="202"/>
      <c r="CN88" s="202"/>
      <c r="CO88" s="202"/>
      <c r="CP88" s="202"/>
      <c r="CQ88" s="202"/>
      <c r="CR88" s="202"/>
    </row>
    <row r="89" spans="1:96" s="204" customFormat="1" ht="15.75" hidden="1" customHeight="1" x14ac:dyDescent="0.25">
      <c r="A89" s="1011" t="s">
        <v>288</v>
      </c>
      <c r="B89" s="1012"/>
      <c r="C89" s="1012"/>
      <c r="D89" s="575">
        <v>0</v>
      </c>
      <c r="E89" s="568" t="s">
        <v>253</v>
      </c>
      <c r="F89" s="192"/>
      <c r="G89" s="192"/>
      <c r="H89" s="192"/>
      <c r="I89" s="155"/>
      <c r="J89" s="155"/>
      <c r="K89" s="28"/>
      <c r="L89" s="202"/>
      <c r="M89" s="420"/>
      <c r="N89" s="478"/>
      <c r="O89" s="420"/>
      <c r="P89" s="420"/>
      <c r="Q89" s="420"/>
      <c r="R89" s="420"/>
      <c r="S89" s="420"/>
      <c r="T89" s="420"/>
      <c r="U89" s="420"/>
      <c r="V89" s="420"/>
      <c r="W89" s="420"/>
      <c r="X89" s="420"/>
      <c r="Y89" s="420"/>
      <c r="Z89" s="420"/>
      <c r="AA89" s="420"/>
      <c r="AB89" s="420"/>
      <c r="AC89" s="420"/>
      <c r="AD89" s="420"/>
      <c r="AE89" s="420"/>
      <c r="AF89" s="420"/>
      <c r="AG89" s="420"/>
      <c r="AH89" s="420"/>
      <c r="AI89" s="420"/>
      <c r="AJ89" s="420"/>
      <c r="AK89" s="420"/>
      <c r="AL89" s="420"/>
      <c r="AM89" s="420"/>
      <c r="AN89" s="420"/>
      <c r="AO89" s="420"/>
      <c r="AP89" s="420"/>
      <c r="AQ89" s="420"/>
      <c r="AR89" s="420"/>
      <c r="AS89" s="420"/>
      <c r="AT89" s="420"/>
      <c r="AU89" s="420"/>
      <c r="AV89" s="420"/>
      <c r="AW89" s="420"/>
      <c r="AX89" s="420"/>
      <c r="AY89" s="420"/>
      <c r="AZ89" s="420"/>
      <c r="BA89" s="420"/>
      <c r="BB89" s="420"/>
      <c r="BC89" s="420"/>
      <c r="BD89" s="420"/>
      <c r="BE89" s="420"/>
      <c r="BF89" s="420"/>
      <c r="BG89" s="420"/>
      <c r="BH89" s="420"/>
      <c r="BI89" s="420"/>
      <c r="BJ89" s="420"/>
      <c r="BK89" s="420"/>
      <c r="BL89" s="420"/>
      <c r="BM89" s="420"/>
      <c r="BN89" s="420"/>
      <c r="BO89" s="420"/>
      <c r="BP89" s="420"/>
      <c r="BQ89" s="420"/>
      <c r="BR89" s="420"/>
      <c r="BS89" s="420"/>
      <c r="BT89" s="420"/>
      <c r="BU89" s="420"/>
      <c r="BV89" s="420"/>
      <c r="BW89" s="420"/>
      <c r="BX89" s="420"/>
      <c r="BY89" s="420"/>
      <c r="BZ89" s="420"/>
      <c r="CA89" s="420"/>
      <c r="CB89" s="420"/>
      <c r="CC89" s="420"/>
      <c r="CD89" s="420"/>
      <c r="CE89" s="202"/>
      <c r="CF89" s="202"/>
      <c r="CG89" s="202"/>
      <c r="CH89" s="202"/>
      <c r="CI89" s="202"/>
      <c r="CJ89" s="202"/>
      <c r="CK89" s="202"/>
      <c r="CL89" s="202"/>
      <c r="CM89" s="202"/>
      <c r="CN89" s="202"/>
    </row>
    <row r="90" spans="1:96" s="204" customFormat="1" ht="15.75" hidden="1" customHeight="1" x14ac:dyDescent="0.25">
      <c r="A90" s="1011" t="s">
        <v>289</v>
      </c>
      <c r="B90" s="1012"/>
      <c r="C90" s="1012"/>
      <c r="D90" s="570">
        <f>IF($D$89=0,0,CR42*1000/$D$89/1000)</f>
        <v>0</v>
      </c>
      <c r="E90" s="568" t="s">
        <v>4</v>
      </c>
      <c r="F90" s="192"/>
      <c r="G90" s="192"/>
      <c r="H90" s="192"/>
      <c r="I90" s="155"/>
      <c r="J90" s="155"/>
      <c r="K90" s="28"/>
      <c r="L90" s="202"/>
      <c r="M90" s="420"/>
      <c r="N90" s="478"/>
      <c r="O90" s="420"/>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0"/>
      <c r="BD90" s="420"/>
      <c r="BE90" s="420"/>
      <c r="BF90" s="420"/>
      <c r="BG90" s="420"/>
      <c r="BH90" s="420"/>
      <c r="BI90" s="420"/>
      <c r="BJ90" s="420"/>
      <c r="BK90" s="420"/>
      <c r="BL90" s="420"/>
      <c r="BM90" s="420"/>
      <c r="BN90" s="420"/>
      <c r="BO90" s="420"/>
      <c r="BP90" s="420"/>
      <c r="BQ90" s="420"/>
      <c r="BR90" s="420"/>
      <c r="BS90" s="420"/>
      <c r="BT90" s="420"/>
      <c r="BU90" s="420"/>
      <c r="BV90" s="420"/>
      <c r="BW90" s="420"/>
      <c r="BX90" s="420"/>
      <c r="BY90" s="420"/>
      <c r="BZ90" s="420"/>
      <c r="CA90" s="420"/>
      <c r="CB90" s="420"/>
      <c r="CC90" s="420"/>
      <c r="CD90" s="420"/>
      <c r="CE90" s="202"/>
      <c r="CF90" s="202"/>
      <c r="CG90" s="202"/>
      <c r="CH90" s="202"/>
      <c r="CI90" s="202"/>
      <c r="CJ90" s="202"/>
      <c r="CK90" s="202"/>
      <c r="CL90" s="202"/>
      <c r="CM90" s="202"/>
      <c r="CN90" s="202"/>
    </row>
    <row r="91" spans="1:96" s="204" customFormat="1" ht="15.75" hidden="1" customHeight="1" x14ac:dyDescent="0.25">
      <c r="A91" s="1011"/>
      <c r="B91" s="1012"/>
      <c r="C91" s="1012"/>
      <c r="D91" s="570">
        <f>IF($D$89=0,0,CS42*1000/$D$89/1000)</f>
        <v>0</v>
      </c>
      <c r="E91" s="568" t="s">
        <v>250</v>
      </c>
      <c r="F91" s="192"/>
      <c r="G91" s="192"/>
      <c r="H91" s="192"/>
      <c r="I91" s="155"/>
      <c r="J91" s="155"/>
      <c r="K91" s="28"/>
      <c r="L91" s="202"/>
      <c r="M91" s="420"/>
      <c r="N91" s="478"/>
      <c r="O91" s="420"/>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c r="AO91" s="420"/>
      <c r="AP91" s="420"/>
      <c r="AQ91" s="420"/>
      <c r="AR91" s="420"/>
      <c r="AS91" s="420"/>
      <c r="AT91" s="420"/>
      <c r="AU91" s="420"/>
      <c r="AV91" s="420"/>
      <c r="AW91" s="420"/>
      <c r="AX91" s="420"/>
      <c r="AY91" s="420"/>
      <c r="AZ91" s="420"/>
      <c r="BA91" s="420"/>
      <c r="BB91" s="420"/>
      <c r="BC91" s="420"/>
      <c r="BD91" s="420"/>
      <c r="BE91" s="420"/>
      <c r="BF91" s="420"/>
      <c r="BG91" s="420"/>
      <c r="BH91" s="420"/>
      <c r="BI91" s="420"/>
      <c r="BJ91" s="420"/>
      <c r="BK91" s="420"/>
      <c r="BL91" s="420"/>
      <c r="BM91" s="420"/>
      <c r="BN91" s="420"/>
      <c r="BO91" s="420"/>
      <c r="BP91" s="420"/>
      <c r="BQ91" s="420"/>
      <c r="BR91" s="420"/>
      <c r="BS91" s="420"/>
      <c r="BT91" s="420"/>
      <c r="BU91" s="420"/>
      <c r="BV91" s="420"/>
      <c r="BW91" s="420"/>
      <c r="BX91" s="420"/>
      <c r="BY91" s="420"/>
      <c r="BZ91" s="420"/>
      <c r="CA91" s="420"/>
      <c r="CB91" s="420"/>
      <c r="CC91" s="420"/>
      <c r="CD91" s="420"/>
      <c r="CE91" s="202"/>
      <c r="CF91" s="202"/>
      <c r="CG91" s="202"/>
      <c r="CH91" s="202"/>
      <c r="CI91" s="202"/>
      <c r="CJ91" s="202"/>
      <c r="CK91" s="202"/>
      <c r="CL91" s="202"/>
      <c r="CM91" s="202"/>
      <c r="CN91" s="202"/>
    </row>
    <row r="92" spans="1:96" s="204" customFormat="1" ht="15.75" hidden="1" customHeight="1" thickBot="1" x14ac:dyDescent="0.3">
      <c r="A92" s="1013"/>
      <c r="B92" s="1014"/>
      <c r="C92" s="1014"/>
      <c r="D92" s="571">
        <f>IF($D$89=0,0,CT42*1000/$D$89/1000)</f>
        <v>0</v>
      </c>
      <c r="E92" s="569" t="s">
        <v>251</v>
      </c>
      <c r="F92" s="192"/>
      <c r="G92" s="192"/>
      <c r="H92" s="192"/>
      <c r="I92" s="155"/>
      <c r="J92" s="155"/>
      <c r="K92" s="28"/>
      <c r="L92" s="202"/>
      <c r="M92" s="420"/>
      <c r="N92" s="478"/>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0"/>
      <c r="AO92" s="420"/>
      <c r="AP92" s="420"/>
      <c r="AQ92" s="420"/>
      <c r="AR92" s="420"/>
      <c r="AS92" s="420"/>
      <c r="AT92" s="420"/>
      <c r="AU92" s="420"/>
      <c r="AV92" s="420"/>
      <c r="AW92" s="420"/>
      <c r="AX92" s="420"/>
      <c r="AY92" s="420"/>
      <c r="AZ92" s="420"/>
      <c r="BA92" s="420"/>
      <c r="BB92" s="420"/>
      <c r="BC92" s="420"/>
      <c r="BD92" s="420"/>
      <c r="BE92" s="420"/>
      <c r="BF92" s="420"/>
      <c r="BG92" s="420"/>
      <c r="BH92" s="420"/>
      <c r="BI92" s="420"/>
      <c r="BJ92" s="420"/>
      <c r="BK92" s="420"/>
      <c r="BL92" s="420"/>
      <c r="BM92" s="420"/>
      <c r="BN92" s="420"/>
      <c r="BO92" s="420"/>
      <c r="BP92" s="420"/>
      <c r="BQ92" s="420"/>
      <c r="BR92" s="420"/>
      <c r="BS92" s="420"/>
      <c r="BT92" s="420"/>
      <c r="BU92" s="420"/>
      <c r="BV92" s="420"/>
      <c r="BW92" s="420"/>
      <c r="BX92" s="420"/>
      <c r="BY92" s="420"/>
      <c r="BZ92" s="420"/>
      <c r="CA92" s="420"/>
      <c r="CB92" s="420"/>
      <c r="CC92" s="420"/>
      <c r="CD92" s="420"/>
      <c r="CE92" s="202"/>
      <c r="CF92" s="202"/>
      <c r="CG92" s="202"/>
      <c r="CH92" s="202"/>
      <c r="CI92" s="202"/>
      <c r="CJ92" s="202"/>
      <c r="CK92" s="202"/>
      <c r="CL92" s="202"/>
      <c r="CM92" s="202"/>
      <c r="CN92" s="202"/>
    </row>
    <row r="93" spans="1:96" s="204" customFormat="1" ht="15.75" hidden="1" customHeight="1" x14ac:dyDescent="0.25">
      <c r="A93" s="191"/>
      <c r="B93" s="44"/>
      <c r="C93" s="44"/>
      <c r="D93" s="192"/>
      <c r="E93" s="192"/>
      <c r="F93" s="192"/>
      <c r="G93" s="192"/>
      <c r="H93" s="192"/>
      <c r="I93" s="155"/>
      <c r="J93" s="155"/>
      <c r="K93" s="28"/>
      <c r="L93" s="202"/>
      <c r="M93" s="420"/>
      <c r="N93" s="478"/>
      <c r="O93" s="420"/>
      <c r="P93" s="420"/>
      <c r="Q93" s="420"/>
      <c r="R93" s="420"/>
      <c r="S93" s="420"/>
      <c r="T93" s="420"/>
      <c r="U93" s="420"/>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c r="AR93" s="420"/>
      <c r="AS93" s="420"/>
      <c r="AT93" s="420"/>
      <c r="AU93" s="420"/>
      <c r="AV93" s="420"/>
      <c r="AW93" s="420"/>
      <c r="AX93" s="420"/>
      <c r="AY93" s="420"/>
      <c r="AZ93" s="420"/>
      <c r="BA93" s="420"/>
      <c r="BB93" s="420"/>
      <c r="BC93" s="420"/>
      <c r="BD93" s="420"/>
      <c r="BE93" s="420"/>
      <c r="BF93" s="420"/>
      <c r="BG93" s="420"/>
      <c r="BH93" s="420"/>
      <c r="BI93" s="420"/>
      <c r="BJ93" s="420"/>
      <c r="BK93" s="420"/>
      <c r="BL93" s="420"/>
      <c r="BM93" s="420"/>
      <c r="BN93" s="420"/>
      <c r="BO93" s="420"/>
      <c r="BP93" s="420"/>
      <c r="BQ93" s="420"/>
      <c r="BR93" s="420"/>
      <c r="BS93" s="420"/>
      <c r="BT93" s="420"/>
      <c r="BU93" s="420"/>
      <c r="BV93" s="420"/>
      <c r="BW93" s="420"/>
      <c r="BX93" s="420"/>
      <c r="BY93" s="420"/>
      <c r="BZ93" s="420"/>
      <c r="CA93" s="420"/>
      <c r="CB93" s="420"/>
      <c r="CC93" s="420"/>
      <c r="CD93" s="420"/>
      <c r="CE93" s="202"/>
      <c r="CF93" s="202"/>
      <c r="CG93" s="202"/>
      <c r="CH93" s="202"/>
      <c r="CI93" s="202"/>
      <c r="CJ93" s="202"/>
      <c r="CK93" s="202"/>
      <c r="CL93" s="202"/>
      <c r="CM93" s="202"/>
      <c r="CN93" s="202"/>
    </row>
    <row r="94" spans="1:96" s="204" customFormat="1" ht="15.75" customHeight="1" x14ac:dyDescent="0.25">
      <c r="A94" s="992" t="str">
        <f>+A55</f>
        <v>© Bayerische Landesanstalt für Landwirtschaft; Stand: 01.09.2022</v>
      </c>
      <c r="B94" s="992"/>
      <c r="C94" s="992"/>
      <c r="D94" s="992"/>
      <c r="E94" s="992"/>
      <c r="F94" s="992"/>
      <c r="G94" s="992"/>
      <c r="H94" s="992"/>
      <c r="I94" s="992"/>
      <c r="J94" s="992"/>
      <c r="K94" s="28"/>
      <c r="L94" s="202"/>
      <c r="M94" s="420"/>
      <c r="N94" s="478"/>
      <c r="O94" s="420"/>
      <c r="P94" s="420"/>
      <c r="Q94" s="420"/>
      <c r="R94" s="420"/>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0"/>
      <c r="BD94" s="420"/>
      <c r="BE94" s="420"/>
      <c r="BF94" s="420"/>
      <c r="BG94" s="420"/>
      <c r="BH94" s="420"/>
      <c r="BI94" s="420"/>
      <c r="BJ94" s="420"/>
      <c r="BK94" s="420"/>
      <c r="BL94" s="420"/>
      <c r="BM94" s="420"/>
      <c r="BN94" s="420"/>
      <c r="BO94" s="420"/>
      <c r="BP94" s="420"/>
      <c r="BQ94" s="420"/>
      <c r="BR94" s="420"/>
      <c r="BS94" s="420"/>
      <c r="BT94" s="420"/>
      <c r="BU94" s="420"/>
      <c r="BV94" s="420"/>
      <c r="BW94" s="420"/>
      <c r="BX94" s="420"/>
      <c r="BY94" s="420"/>
      <c r="BZ94" s="420"/>
      <c r="CA94" s="420"/>
      <c r="CB94" s="420"/>
      <c r="CC94" s="420"/>
      <c r="CD94" s="420"/>
      <c r="CE94" s="202"/>
      <c r="CF94" s="202"/>
      <c r="CG94" s="202"/>
      <c r="CH94" s="202"/>
      <c r="CI94" s="202"/>
      <c r="CJ94" s="202"/>
      <c r="CK94" s="202"/>
      <c r="CL94" s="202"/>
      <c r="CM94" s="202"/>
      <c r="CN94" s="202"/>
    </row>
    <row r="95" spans="1:96" s="204" customFormat="1" ht="15.75" customHeight="1" x14ac:dyDescent="0.25">
      <c r="A95" s="191"/>
      <c r="B95" s="44"/>
      <c r="C95" s="44"/>
      <c r="D95" s="192"/>
      <c r="E95" s="192"/>
      <c r="F95" s="192"/>
      <c r="G95" s="192"/>
      <c r="H95" s="192"/>
      <c r="I95" s="155"/>
      <c r="J95" s="155"/>
      <c r="K95" s="28"/>
      <c r="L95" s="202"/>
      <c r="M95" s="420"/>
      <c r="N95" s="478"/>
      <c r="O95" s="420"/>
      <c r="P95" s="420"/>
      <c r="Q95" s="420"/>
      <c r="R95" s="420"/>
      <c r="S95" s="420"/>
      <c r="T95" s="420"/>
      <c r="U95" s="420"/>
      <c r="V95" s="420"/>
      <c r="W95" s="420"/>
      <c r="X95" s="420"/>
      <c r="Y95" s="420"/>
      <c r="Z95" s="420"/>
      <c r="AA95" s="420"/>
      <c r="AB95" s="420"/>
      <c r="AC95" s="420"/>
      <c r="AD95" s="420"/>
      <c r="AE95" s="420"/>
      <c r="AF95" s="420"/>
      <c r="AG95" s="420"/>
      <c r="AH95" s="420"/>
      <c r="AI95" s="420"/>
      <c r="AJ95" s="420"/>
      <c r="AK95" s="420"/>
      <c r="AL95" s="420"/>
      <c r="AM95" s="420"/>
      <c r="AN95" s="420"/>
      <c r="AO95" s="420"/>
      <c r="AP95" s="420"/>
      <c r="AQ95" s="420"/>
      <c r="AR95" s="420"/>
      <c r="AS95" s="420"/>
      <c r="AT95" s="420"/>
      <c r="AU95" s="420"/>
      <c r="AV95" s="420"/>
      <c r="AW95" s="420"/>
      <c r="AX95" s="420"/>
      <c r="AY95" s="420"/>
      <c r="AZ95" s="420"/>
      <c r="BA95" s="420"/>
      <c r="BB95" s="420"/>
      <c r="BC95" s="420"/>
      <c r="BD95" s="420"/>
      <c r="BE95" s="420"/>
      <c r="BF95" s="420"/>
      <c r="BG95" s="420"/>
      <c r="BH95" s="420"/>
      <c r="BI95" s="420"/>
      <c r="BJ95" s="420"/>
      <c r="BK95" s="420"/>
      <c r="BL95" s="420"/>
      <c r="BM95" s="420"/>
      <c r="BN95" s="420"/>
      <c r="BO95" s="420"/>
      <c r="BP95" s="420"/>
      <c r="BQ95" s="420"/>
      <c r="BR95" s="420"/>
      <c r="BS95" s="420"/>
      <c r="BT95" s="420"/>
      <c r="BU95" s="420"/>
      <c r="BV95" s="420"/>
      <c r="BW95" s="420"/>
      <c r="BX95" s="420"/>
      <c r="BY95" s="420"/>
      <c r="BZ95" s="420"/>
      <c r="CA95" s="420"/>
      <c r="CB95" s="420"/>
      <c r="CC95" s="420"/>
      <c r="CD95" s="420"/>
      <c r="CE95" s="202"/>
      <c r="CF95" s="202"/>
      <c r="CG95" s="202"/>
      <c r="CH95" s="202"/>
      <c r="CI95" s="202"/>
      <c r="CJ95" s="202"/>
      <c r="CK95" s="202"/>
      <c r="CL95" s="202"/>
      <c r="CM95" s="202"/>
      <c r="CN95" s="202"/>
    </row>
    <row r="96" spans="1:96" s="204" customFormat="1" ht="15.75" customHeight="1" x14ac:dyDescent="0.25">
      <c r="A96" s="191"/>
      <c r="B96" s="44"/>
      <c r="C96" s="44"/>
      <c r="D96" s="192"/>
      <c r="E96" s="192"/>
      <c r="F96" s="192"/>
      <c r="G96" s="192"/>
      <c r="H96" s="192"/>
      <c r="I96" s="155"/>
      <c r="J96" s="155"/>
      <c r="K96" s="28"/>
      <c r="L96" s="202"/>
      <c r="M96" s="420"/>
      <c r="N96" s="478"/>
      <c r="O96" s="420"/>
      <c r="P96" s="420"/>
      <c r="Q96" s="420"/>
      <c r="R96" s="420"/>
      <c r="S96" s="420"/>
      <c r="T96" s="420"/>
      <c r="U96" s="420"/>
      <c r="V96" s="420"/>
      <c r="W96" s="420"/>
      <c r="X96" s="420"/>
      <c r="Y96" s="420"/>
      <c r="Z96" s="420"/>
      <c r="AA96" s="420"/>
      <c r="AB96" s="420"/>
      <c r="AC96" s="420"/>
      <c r="AD96" s="420"/>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0"/>
      <c r="BD96" s="420"/>
      <c r="BE96" s="420"/>
      <c r="BF96" s="420"/>
      <c r="BG96" s="420"/>
      <c r="BH96" s="420"/>
      <c r="BI96" s="420"/>
      <c r="BJ96" s="420"/>
      <c r="BK96" s="420"/>
      <c r="BL96" s="420"/>
      <c r="BM96" s="420"/>
      <c r="BN96" s="420"/>
      <c r="BO96" s="420"/>
      <c r="BP96" s="420"/>
      <c r="BQ96" s="420"/>
      <c r="BR96" s="420"/>
      <c r="BS96" s="420"/>
      <c r="BT96" s="420"/>
      <c r="BU96" s="420"/>
      <c r="BV96" s="420"/>
      <c r="BW96" s="420"/>
      <c r="BX96" s="420"/>
      <c r="BY96" s="420"/>
      <c r="BZ96" s="420"/>
      <c r="CA96" s="420"/>
      <c r="CB96" s="420"/>
      <c r="CC96" s="420"/>
      <c r="CD96" s="420"/>
      <c r="CE96" s="202"/>
      <c r="CF96" s="202"/>
      <c r="CG96" s="202"/>
      <c r="CH96" s="202"/>
      <c r="CI96" s="202"/>
      <c r="CJ96" s="202"/>
      <c r="CK96" s="202"/>
      <c r="CL96" s="202"/>
      <c r="CM96" s="202"/>
      <c r="CN96" s="202"/>
    </row>
    <row r="97" spans="1:92" s="204" customFormat="1" ht="15.75" customHeight="1" x14ac:dyDescent="0.25">
      <c r="A97" s="191"/>
      <c r="B97" s="44"/>
      <c r="C97" s="44"/>
      <c r="D97" s="192"/>
      <c r="E97" s="192"/>
      <c r="F97" s="192"/>
      <c r="G97" s="192"/>
      <c r="H97" s="192"/>
      <c r="I97" s="155"/>
      <c r="J97" s="155"/>
      <c r="K97" s="28"/>
      <c r="L97" s="202"/>
      <c r="M97" s="420"/>
      <c r="N97" s="478"/>
      <c r="O97" s="420"/>
      <c r="P97" s="420"/>
      <c r="Q97" s="420"/>
      <c r="R97" s="420"/>
      <c r="S97" s="420"/>
      <c r="T97" s="420"/>
      <c r="U97" s="420"/>
      <c r="V97" s="420"/>
      <c r="W97" s="420"/>
      <c r="X97" s="420"/>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20"/>
      <c r="AY97" s="420"/>
      <c r="AZ97" s="420"/>
      <c r="BA97" s="420"/>
      <c r="BB97" s="420"/>
      <c r="BC97" s="420"/>
      <c r="BD97" s="420"/>
      <c r="BE97" s="420"/>
      <c r="BF97" s="420"/>
      <c r="BG97" s="420"/>
      <c r="BH97" s="420"/>
      <c r="BI97" s="420"/>
      <c r="BJ97" s="420"/>
      <c r="BK97" s="420"/>
      <c r="BL97" s="420"/>
      <c r="BM97" s="420"/>
      <c r="BN97" s="420"/>
      <c r="BO97" s="420"/>
      <c r="BP97" s="420"/>
      <c r="BQ97" s="420"/>
      <c r="BR97" s="420"/>
      <c r="BS97" s="420"/>
      <c r="BT97" s="420"/>
      <c r="BU97" s="420"/>
      <c r="BV97" s="420"/>
      <c r="BW97" s="420"/>
      <c r="BX97" s="420"/>
      <c r="BY97" s="420"/>
      <c r="BZ97" s="420"/>
      <c r="CA97" s="420"/>
      <c r="CB97" s="420"/>
      <c r="CC97" s="420"/>
      <c r="CD97" s="420"/>
      <c r="CE97" s="202"/>
      <c r="CF97" s="202"/>
      <c r="CG97" s="202"/>
      <c r="CH97" s="202"/>
      <c r="CI97" s="202"/>
      <c r="CJ97" s="202"/>
      <c r="CK97" s="202"/>
      <c r="CL97" s="202"/>
      <c r="CM97" s="202"/>
      <c r="CN97" s="202"/>
    </row>
    <row r="98" spans="1:92" s="204" customFormat="1" ht="15.75" customHeight="1" x14ac:dyDescent="0.25">
      <c r="A98" s="191"/>
      <c r="B98" s="44"/>
      <c r="C98" s="44"/>
      <c r="D98" s="192"/>
      <c r="E98" s="192"/>
      <c r="F98" s="192"/>
      <c r="G98" s="192"/>
      <c r="H98" s="192"/>
      <c r="I98" s="155"/>
      <c r="J98" s="155"/>
      <c r="K98" s="28"/>
      <c r="L98" s="202"/>
      <c r="M98" s="420"/>
      <c r="N98" s="478"/>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0"/>
      <c r="BD98" s="420"/>
      <c r="BE98" s="420"/>
      <c r="BF98" s="420"/>
      <c r="BG98" s="420"/>
      <c r="BH98" s="420"/>
      <c r="BI98" s="420"/>
      <c r="BJ98" s="420"/>
      <c r="BK98" s="420"/>
      <c r="BL98" s="420"/>
      <c r="BM98" s="420"/>
      <c r="BN98" s="420"/>
      <c r="BO98" s="420"/>
      <c r="BP98" s="420"/>
      <c r="BQ98" s="420"/>
      <c r="BR98" s="420"/>
      <c r="BS98" s="420"/>
      <c r="BT98" s="420"/>
      <c r="BU98" s="420"/>
      <c r="BV98" s="420"/>
      <c r="BW98" s="420"/>
      <c r="BX98" s="420"/>
      <c r="BY98" s="420"/>
      <c r="BZ98" s="420"/>
      <c r="CA98" s="420"/>
      <c r="CB98" s="420"/>
      <c r="CC98" s="420"/>
      <c r="CD98" s="420"/>
      <c r="CE98" s="202"/>
      <c r="CF98" s="202"/>
      <c r="CG98" s="202"/>
      <c r="CH98" s="202"/>
      <c r="CI98" s="202"/>
      <c r="CJ98" s="202"/>
      <c r="CK98" s="202"/>
      <c r="CL98" s="202"/>
      <c r="CM98" s="202"/>
      <c r="CN98" s="202"/>
    </row>
    <row r="99" spans="1:92" s="204" customFormat="1" ht="15.75" customHeight="1" x14ac:dyDescent="0.25">
      <c r="A99" s="191"/>
      <c r="B99" s="44"/>
      <c r="C99" s="44"/>
      <c r="D99" s="192"/>
      <c r="E99" s="192"/>
      <c r="F99" s="192"/>
      <c r="G99" s="192"/>
      <c r="H99" s="192"/>
      <c r="I99" s="155"/>
      <c r="J99" s="155"/>
      <c r="K99" s="28"/>
      <c r="L99" s="202"/>
      <c r="M99" s="420"/>
      <c r="N99" s="478"/>
      <c r="O99" s="420"/>
      <c r="P99" s="420"/>
      <c r="Q99" s="420"/>
      <c r="R99" s="420"/>
      <c r="S99" s="420"/>
      <c r="T99" s="420"/>
      <c r="U99" s="420"/>
      <c r="V99" s="420"/>
      <c r="W99" s="420"/>
      <c r="X99" s="420"/>
      <c r="Y99" s="420"/>
      <c r="Z99" s="420"/>
      <c r="AA99" s="420"/>
      <c r="AB99" s="420"/>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20"/>
      <c r="AY99" s="420"/>
      <c r="AZ99" s="420"/>
      <c r="BA99" s="420"/>
      <c r="BB99" s="420"/>
      <c r="BC99" s="420"/>
      <c r="BD99" s="420"/>
      <c r="BE99" s="420"/>
      <c r="BF99" s="420"/>
      <c r="BG99" s="420"/>
      <c r="BH99" s="420"/>
      <c r="BI99" s="420"/>
      <c r="BJ99" s="420"/>
      <c r="BK99" s="420"/>
      <c r="BL99" s="420"/>
      <c r="BM99" s="420"/>
      <c r="BN99" s="420"/>
      <c r="BO99" s="420"/>
      <c r="BP99" s="420"/>
      <c r="BQ99" s="420"/>
      <c r="BR99" s="420"/>
      <c r="BS99" s="420"/>
      <c r="BT99" s="420"/>
      <c r="BU99" s="420"/>
      <c r="BV99" s="420"/>
      <c r="BW99" s="420"/>
      <c r="BX99" s="420"/>
      <c r="BY99" s="420"/>
      <c r="BZ99" s="420"/>
      <c r="CA99" s="420"/>
      <c r="CB99" s="420"/>
      <c r="CC99" s="420"/>
      <c r="CD99" s="420"/>
      <c r="CE99" s="202"/>
      <c r="CF99" s="202"/>
      <c r="CG99" s="202"/>
      <c r="CH99" s="202"/>
      <c r="CI99" s="202"/>
      <c r="CJ99" s="202"/>
      <c r="CK99" s="202"/>
      <c r="CL99" s="202"/>
      <c r="CM99" s="202"/>
      <c r="CN99" s="202"/>
    </row>
    <row r="100" spans="1:92" s="204" customFormat="1" ht="15.75" customHeight="1" x14ac:dyDescent="0.25">
      <c r="A100" s="191"/>
      <c r="B100" s="44"/>
      <c r="C100" s="44"/>
      <c r="D100" s="192"/>
      <c r="E100" s="192"/>
      <c r="F100" s="192"/>
      <c r="G100" s="192"/>
      <c r="H100" s="192"/>
      <c r="I100" s="155"/>
      <c r="J100" s="155"/>
      <c r="K100" s="28"/>
      <c r="L100" s="202"/>
      <c r="M100" s="420"/>
      <c r="N100" s="478"/>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0"/>
      <c r="AZ100" s="420"/>
      <c r="BA100" s="420"/>
      <c r="BB100" s="420"/>
      <c r="BC100" s="420"/>
      <c r="BD100" s="420"/>
      <c r="BE100" s="420"/>
      <c r="BF100" s="420"/>
      <c r="BG100" s="420"/>
      <c r="BH100" s="420"/>
      <c r="BI100" s="420"/>
      <c r="BJ100" s="420"/>
      <c r="BK100" s="420"/>
      <c r="BL100" s="420"/>
      <c r="BM100" s="420"/>
      <c r="BN100" s="420"/>
      <c r="BO100" s="420"/>
      <c r="BP100" s="420"/>
      <c r="BQ100" s="420"/>
      <c r="BR100" s="420"/>
      <c r="BS100" s="420"/>
      <c r="BT100" s="420"/>
      <c r="BU100" s="420"/>
      <c r="BV100" s="420"/>
      <c r="BW100" s="420"/>
      <c r="BX100" s="420"/>
      <c r="BY100" s="420"/>
      <c r="BZ100" s="420"/>
      <c r="CA100" s="420"/>
      <c r="CB100" s="420"/>
      <c r="CC100" s="420"/>
      <c r="CD100" s="420"/>
      <c r="CE100" s="202"/>
      <c r="CF100" s="202"/>
      <c r="CG100" s="202"/>
      <c r="CH100" s="202"/>
      <c r="CI100" s="202"/>
      <c r="CJ100" s="202"/>
      <c r="CK100" s="202"/>
      <c r="CL100" s="202"/>
      <c r="CM100" s="202"/>
      <c r="CN100" s="202"/>
    </row>
    <row r="101" spans="1:92" s="204" customFormat="1" ht="15.75" customHeight="1" x14ac:dyDescent="0.25">
      <c r="A101" s="191"/>
      <c r="B101" s="44"/>
      <c r="C101" s="44"/>
      <c r="D101" s="192"/>
      <c r="E101" s="192"/>
      <c r="F101" s="192"/>
      <c r="G101" s="192"/>
      <c r="H101" s="192"/>
      <c r="I101" s="155"/>
      <c r="J101" s="155"/>
      <c r="K101" s="28"/>
      <c r="L101" s="202"/>
      <c r="M101" s="420"/>
      <c r="N101" s="478"/>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0"/>
      <c r="AY101" s="420"/>
      <c r="AZ101" s="420"/>
      <c r="BA101" s="420"/>
      <c r="BB101" s="420"/>
      <c r="BC101" s="420"/>
      <c r="BD101" s="420"/>
      <c r="BE101" s="420"/>
      <c r="BF101" s="420"/>
      <c r="BG101" s="420"/>
      <c r="BH101" s="420"/>
      <c r="BI101" s="420"/>
      <c r="BJ101" s="420"/>
      <c r="BK101" s="420"/>
      <c r="BL101" s="420"/>
      <c r="BM101" s="420"/>
      <c r="BN101" s="420"/>
      <c r="BO101" s="420"/>
      <c r="BP101" s="420"/>
      <c r="BQ101" s="420"/>
      <c r="BR101" s="420"/>
      <c r="BS101" s="420"/>
      <c r="BT101" s="420"/>
      <c r="BU101" s="420"/>
      <c r="BV101" s="420"/>
      <c r="BW101" s="420"/>
      <c r="BX101" s="420"/>
      <c r="BY101" s="420"/>
      <c r="BZ101" s="420"/>
      <c r="CA101" s="420"/>
      <c r="CB101" s="420"/>
      <c r="CC101" s="420"/>
      <c r="CD101" s="420"/>
      <c r="CE101" s="202"/>
      <c r="CF101" s="202"/>
      <c r="CG101" s="202"/>
      <c r="CH101" s="202"/>
      <c r="CI101" s="202"/>
      <c r="CJ101" s="202"/>
      <c r="CK101" s="202"/>
      <c r="CL101" s="202"/>
      <c r="CM101" s="202"/>
      <c r="CN101" s="202"/>
    </row>
    <row r="102" spans="1:92" s="204" customFormat="1" ht="15.75" customHeight="1" x14ac:dyDescent="0.25">
      <c r="A102" s="191"/>
      <c r="B102" s="44"/>
      <c r="C102" s="44"/>
      <c r="D102" s="192"/>
      <c r="E102" s="192"/>
      <c r="F102" s="192"/>
      <c r="G102" s="192"/>
      <c r="H102" s="192"/>
      <c r="I102" s="155"/>
      <c r="J102" s="155"/>
      <c r="K102" s="28"/>
      <c r="L102" s="202"/>
      <c r="M102" s="420"/>
      <c r="N102" s="478"/>
      <c r="O102" s="420"/>
      <c r="P102" s="420"/>
      <c r="Q102" s="420"/>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0"/>
      <c r="AY102" s="420"/>
      <c r="AZ102" s="420"/>
      <c r="BA102" s="420"/>
      <c r="BB102" s="420"/>
      <c r="BC102" s="420"/>
      <c r="BD102" s="420"/>
      <c r="BE102" s="420"/>
      <c r="BF102" s="420"/>
      <c r="BG102" s="420"/>
      <c r="BH102" s="420"/>
      <c r="BI102" s="420"/>
      <c r="BJ102" s="420"/>
      <c r="BK102" s="420"/>
      <c r="BL102" s="420"/>
      <c r="BM102" s="420"/>
      <c r="BN102" s="420"/>
      <c r="BO102" s="420"/>
      <c r="BP102" s="420"/>
      <c r="BQ102" s="420"/>
      <c r="BR102" s="420"/>
      <c r="BS102" s="420"/>
      <c r="BT102" s="420"/>
      <c r="BU102" s="420"/>
      <c r="BV102" s="420"/>
      <c r="BW102" s="420"/>
      <c r="BX102" s="420"/>
      <c r="BY102" s="420"/>
      <c r="BZ102" s="420"/>
      <c r="CA102" s="420"/>
      <c r="CB102" s="420"/>
      <c r="CC102" s="420"/>
      <c r="CD102" s="420"/>
      <c r="CE102" s="202"/>
      <c r="CF102" s="202"/>
      <c r="CG102" s="202"/>
      <c r="CH102" s="202"/>
      <c r="CI102" s="202"/>
      <c r="CJ102" s="202"/>
      <c r="CK102" s="202"/>
      <c r="CL102" s="202"/>
      <c r="CM102" s="202"/>
      <c r="CN102" s="202"/>
    </row>
    <row r="103" spans="1:92" s="204" customFormat="1" ht="24" customHeight="1" x14ac:dyDescent="0.25">
      <c r="A103" s="33"/>
      <c r="B103" s="33"/>
      <c r="C103" s="33"/>
      <c r="D103" s="33"/>
      <c r="E103" s="33"/>
      <c r="F103" s="33"/>
      <c r="G103" s="33"/>
      <c r="H103" s="33"/>
      <c r="I103" s="33"/>
      <c r="J103" s="28"/>
      <c r="K103" s="28"/>
      <c r="L103" s="202"/>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0"/>
      <c r="AY103" s="420"/>
      <c r="AZ103" s="420"/>
      <c r="BA103" s="420"/>
      <c r="BB103" s="420"/>
      <c r="BC103" s="420"/>
      <c r="BD103" s="420"/>
      <c r="BE103" s="420"/>
      <c r="BF103" s="420"/>
      <c r="BG103" s="420"/>
      <c r="BH103" s="420"/>
      <c r="BI103" s="420"/>
      <c r="BJ103" s="420"/>
      <c r="BK103" s="420"/>
      <c r="BL103" s="420"/>
      <c r="BM103" s="420"/>
      <c r="BN103" s="420"/>
      <c r="BO103" s="420"/>
      <c r="BP103" s="420"/>
      <c r="BQ103" s="420"/>
      <c r="BR103" s="420"/>
      <c r="BS103" s="420"/>
      <c r="BT103" s="420"/>
      <c r="BU103" s="420"/>
      <c r="BV103" s="420"/>
      <c r="BW103" s="420"/>
      <c r="BX103" s="420"/>
      <c r="BY103" s="420"/>
      <c r="BZ103" s="420"/>
      <c r="CA103" s="420"/>
      <c r="CB103" s="420"/>
      <c r="CC103" s="420"/>
      <c r="CD103" s="420"/>
      <c r="CE103" s="202"/>
      <c r="CF103" s="202"/>
      <c r="CG103" s="202"/>
      <c r="CH103" s="202"/>
      <c r="CI103" s="202"/>
      <c r="CJ103" s="202"/>
      <c r="CK103" s="202"/>
      <c r="CL103" s="202"/>
      <c r="CM103" s="202"/>
      <c r="CN103" s="202"/>
    </row>
    <row r="104" spans="1:92" s="204" customFormat="1" ht="44.25" customHeight="1" x14ac:dyDescent="0.25">
      <c r="A104" s="33"/>
      <c r="B104" s="33"/>
      <c r="C104" s="33"/>
      <c r="D104" s="33"/>
      <c r="E104" s="33"/>
      <c r="F104" s="33"/>
      <c r="G104" s="33"/>
      <c r="H104" s="33"/>
      <c r="I104" s="33"/>
      <c r="J104" s="28"/>
      <c r="K104" s="28"/>
      <c r="L104" s="202"/>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20"/>
      <c r="AY104" s="420"/>
      <c r="AZ104" s="420"/>
      <c r="BA104" s="420"/>
      <c r="BB104" s="420"/>
      <c r="BC104" s="420"/>
      <c r="BD104" s="420"/>
      <c r="BE104" s="420"/>
      <c r="BF104" s="420"/>
      <c r="BG104" s="420"/>
      <c r="BH104" s="420"/>
      <c r="BI104" s="420"/>
      <c r="BJ104" s="420"/>
      <c r="BK104" s="420"/>
      <c r="BL104" s="420"/>
      <c r="BM104" s="420"/>
      <c r="BN104" s="420"/>
      <c r="BO104" s="420"/>
      <c r="BP104" s="420"/>
      <c r="BQ104" s="420"/>
      <c r="BR104" s="420"/>
      <c r="BS104" s="420"/>
      <c r="BT104" s="420"/>
      <c r="BU104" s="420"/>
      <c r="BV104" s="420"/>
      <c r="BW104" s="420"/>
      <c r="BX104" s="420"/>
      <c r="BY104" s="420"/>
      <c r="BZ104" s="420"/>
      <c r="CA104" s="420"/>
      <c r="CB104" s="420"/>
      <c r="CC104" s="420"/>
      <c r="CD104" s="420"/>
      <c r="CE104" s="202"/>
      <c r="CF104" s="202"/>
      <c r="CG104" s="202"/>
      <c r="CH104" s="202"/>
      <c r="CI104" s="202"/>
      <c r="CJ104" s="202"/>
      <c r="CK104" s="202"/>
      <c r="CL104" s="202"/>
      <c r="CM104" s="202"/>
      <c r="CN104" s="202"/>
    </row>
    <row r="105" spans="1:92" s="204" customFormat="1" ht="21" customHeight="1" x14ac:dyDescent="0.25">
      <c r="K105" s="28"/>
      <c r="L105" s="202"/>
      <c r="M105" s="420"/>
      <c r="N105" s="420"/>
      <c r="O105" s="420"/>
      <c r="P105" s="420"/>
      <c r="Q105" s="420"/>
      <c r="R105" s="420"/>
      <c r="S105" s="420"/>
      <c r="T105" s="420"/>
      <c r="U105" s="420"/>
      <c r="V105" s="420"/>
      <c r="W105" s="420"/>
      <c r="X105" s="420"/>
      <c r="Y105" s="420"/>
      <c r="Z105" s="420"/>
      <c r="AA105" s="420"/>
      <c r="AB105" s="420"/>
      <c r="AC105" s="420"/>
      <c r="AD105" s="420"/>
      <c r="AE105" s="420"/>
      <c r="AF105" s="420"/>
      <c r="AG105" s="420"/>
      <c r="AH105" s="420"/>
      <c r="AI105" s="420"/>
      <c r="AJ105" s="420"/>
      <c r="AK105" s="420"/>
      <c r="AL105" s="420"/>
      <c r="AM105" s="420"/>
      <c r="AN105" s="420"/>
      <c r="AO105" s="420"/>
      <c r="AP105" s="420"/>
      <c r="AQ105" s="420"/>
      <c r="AR105" s="420"/>
      <c r="AS105" s="420"/>
      <c r="AT105" s="420"/>
      <c r="AU105" s="420"/>
      <c r="AV105" s="420"/>
      <c r="AW105" s="420"/>
      <c r="AX105" s="420"/>
      <c r="AY105" s="420"/>
      <c r="AZ105" s="420"/>
      <c r="BA105" s="420"/>
      <c r="BB105" s="420"/>
      <c r="BC105" s="420"/>
      <c r="BD105" s="420"/>
      <c r="BE105" s="420"/>
      <c r="BF105" s="420"/>
      <c r="BG105" s="420"/>
      <c r="BH105" s="420"/>
      <c r="BI105" s="420"/>
      <c r="BJ105" s="420"/>
      <c r="BK105" s="420"/>
      <c r="BL105" s="420"/>
      <c r="BM105" s="420"/>
      <c r="BN105" s="420"/>
      <c r="BO105" s="420"/>
      <c r="BP105" s="420"/>
      <c r="BQ105" s="420"/>
      <c r="BR105" s="420"/>
      <c r="BS105" s="420"/>
      <c r="BT105" s="420"/>
      <c r="BU105" s="420"/>
      <c r="BV105" s="420"/>
      <c r="BW105" s="420"/>
      <c r="BX105" s="420"/>
      <c r="BY105" s="420"/>
      <c r="BZ105" s="420"/>
      <c r="CA105" s="420"/>
      <c r="CB105" s="420"/>
      <c r="CC105" s="420"/>
      <c r="CD105" s="420"/>
      <c r="CE105" s="202"/>
      <c r="CF105" s="202"/>
      <c r="CG105" s="202"/>
      <c r="CH105" s="202"/>
      <c r="CI105" s="202"/>
      <c r="CJ105" s="202"/>
      <c r="CK105" s="202"/>
      <c r="CL105" s="202"/>
      <c r="CM105" s="202"/>
      <c r="CN105" s="202"/>
    </row>
    <row r="106" spans="1:92" s="204" customFormat="1" ht="15.75" customHeight="1" thickBot="1" x14ac:dyDescent="0.3">
      <c r="A106" s="35"/>
      <c r="B106" s="35"/>
      <c r="C106" s="35"/>
      <c r="D106" s="35"/>
      <c r="E106" s="35"/>
      <c r="F106" s="35"/>
      <c r="G106" s="35"/>
      <c r="H106" s="35"/>
      <c r="I106" s="35"/>
      <c r="J106" s="35"/>
      <c r="K106" s="28"/>
      <c r="L106" s="202"/>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0"/>
      <c r="AP106" s="420"/>
      <c r="AQ106" s="420"/>
      <c r="AR106" s="420"/>
      <c r="AS106" s="420"/>
      <c r="AT106" s="420"/>
      <c r="AU106" s="420"/>
      <c r="AV106" s="420"/>
      <c r="AW106" s="420"/>
      <c r="AX106" s="420"/>
      <c r="AY106" s="420"/>
      <c r="AZ106" s="420"/>
      <c r="BA106" s="420"/>
      <c r="BB106" s="420"/>
      <c r="BC106" s="420"/>
      <c r="BD106" s="420"/>
      <c r="BE106" s="420"/>
      <c r="BF106" s="420"/>
      <c r="BG106" s="420"/>
      <c r="BH106" s="420"/>
      <c r="BI106" s="420"/>
      <c r="BJ106" s="420"/>
      <c r="BK106" s="420"/>
      <c r="BL106" s="420"/>
      <c r="BM106" s="420"/>
      <c r="BN106" s="420"/>
      <c r="BO106" s="420"/>
      <c r="BP106" s="420"/>
      <c r="BQ106" s="420"/>
      <c r="BR106" s="420"/>
      <c r="BS106" s="420"/>
      <c r="BT106" s="420"/>
      <c r="BU106" s="420"/>
      <c r="BV106" s="420"/>
      <c r="BW106" s="420"/>
      <c r="BX106" s="420"/>
      <c r="BY106" s="420"/>
      <c r="BZ106" s="420"/>
      <c r="CA106" s="420"/>
      <c r="CB106" s="420"/>
      <c r="CC106" s="420"/>
      <c r="CD106" s="420"/>
      <c r="CE106" s="202"/>
      <c r="CF106" s="202"/>
      <c r="CG106" s="202"/>
      <c r="CH106" s="202"/>
      <c r="CI106" s="202"/>
      <c r="CJ106" s="202"/>
      <c r="CK106" s="202"/>
      <c r="CL106" s="202"/>
      <c r="CM106" s="202"/>
      <c r="CN106" s="202"/>
    </row>
    <row r="107" spans="1:92" s="204" customFormat="1" ht="15.75" customHeight="1" thickBot="1" x14ac:dyDescent="0.3">
      <c r="A107" s="1025" t="s">
        <v>295</v>
      </c>
      <c r="B107" s="1026"/>
      <c r="C107" s="1026"/>
      <c r="D107" s="1026"/>
      <c r="E107" s="1026"/>
      <c r="F107" s="1026"/>
      <c r="G107" s="1026"/>
      <c r="H107" s="1026"/>
      <c r="I107" s="1026"/>
      <c r="J107" s="1027"/>
      <c r="K107" s="28"/>
      <c r="L107" s="202"/>
      <c r="M107" s="420"/>
      <c r="N107" s="420"/>
      <c r="O107" s="420"/>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c r="AO107" s="420"/>
      <c r="AP107" s="420"/>
      <c r="AQ107" s="420"/>
      <c r="AR107" s="420"/>
      <c r="AS107" s="420"/>
      <c r="AT107" s="420"/>
      <c r="AU107" s="420"/>
      <c r="AV107" s="420"/>
      <c r="AW107" s="420"/>
      <c r="AX107" s="420"/>
      <c r="AY107" s="420"/>
      <c r="AZ107" s="420"/>
      <c r="BA107" s="420"/>
      <c r="BB107" s="420"/>
      <c r="BC107" s="420"/>
      <c r="BD107" s="420"/>
      <c r="BE107" s="420"/>
      <c r="BF107" s="420"/>
      <c r="BG107" s="420"/>
      <c r="BH107" s="420"/>
      <c r="BI107" s="420"/>
      <c r="BJ107" s="420"/>
      <c r="BK107" s="420"/>
      <c r="BL107" s="420"/>
      <c r="BM107" s="420"/>
      <c r="BN107" s="420"/>
      <c r="BO107" s="420"/>
      <c r="BP107" s="420"/>
      <c r="BQ107" s="420"/>
      <c r="BR107" s="420"/>
      <c r="BS107" s="420"/>
      <c r="BT107" s="420"/>
      <c r="BU107" s="420"/>
      <c r="BV107" s="420"/>
      <c r="BW107" s="420"/>
      <c r="BX107" s="420"/>
      <c r="BY107" s="420"/>
      <c r="BZ107" s="420"/>
      <c r="CA107" s="420"/>
      <c r="CB107" s="420"/>
      <c r="CC107" s="420"/>
      <c r="CD107" s="420"/>
      <c r="CE107" s="202"/>
      <c r="CF107" s="202"/>
      <c r="CG107" s="202"/>
      <c r="CH107" s="202"/>
      <c r="CI107" s="202"/>
      <c r="CJ107" s="202"/>
      <c r="CK107" s="202"/>
      <c r="CL107" s="202"/>
      <c r="CM107" s="202"/>
      <c r="CN107" s="202"/>
    </row>
    <row r="108" spans="1:92" s="198" customFormat="1" ht="17.25" customHeight="1" thickBot="1" x14ac:dyDescent="0.3">
      <c r="A108" s="1"/>
      <c r="B108" s="34"/>
      <c r="C108" s="34"/>
      <c r="D108" s="35"/>
      <c r="E108" s="35"/>
      <c r="F108" s="35"/>
      <c r="G108" s="35"/>
      <c r="H108" s="35"/>
      <c r="I108" s="35"/>
      <c r="J108" s="36"/>
      <c r="K108" s="36"/>
      <c r="L108" s="209"/>
      <c r="M108" s="510"/>
      <c r="N108" s="510"/>
      <c r="O108" s="510"/>
      <c r="P108" s="510"/>
      <c r="Q108" s="510"/>
      <c r="R108" s="510"/>
      <c r="S108" s="510"/>
      <c r="T108" s="510"/>
      <c r="U108" s="510"/>
      <c r="V108" s="510"/>
      <c r="W108" s="510"/>
      <c r="X108" s="510"/>
      <c r="Y108" s="510"/>
      <c r="Z108" s="510"/>
      <c r="AA108" s="510"/>
      <c r="AB108" s="510"/>
      <c r="AC108" s="510"/>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510"/>
      <c r="AY108" s="510"/>
      <c r="AZ108" s="510"/>
      <c r="BA108" s="510"/>
      <c r="BB108" s="510"/>
      <c r="BC108" s="510"/>
      <c r="BD108" s="510"/>
      <c r="BE108" s="510"/>
      <c r="BF108" s="510"/>
      <c r="BG108" s="510"/>
      <c r="BH108" s="510"/>
      <c r="BI108" s="510"/>
      <c r="BJ108" s="510"/>
      <c r="BK108" s="510"/>
      <c r="BL108" s="510"/>
      <c r="BM108" s="510"/>
      <c r="BN108" s="510"/>
      <c r="BO108" s="510"/>
      <c r="BP108" s="510"/>
      <c r="BQ108" s="510"/>
      <c r="BR108" s="510"/>
      <c r="BS108" s="510"/>
      <c r="BT108" s="510"/>
      <c r="BU108" s="510"/>
      <c r="BV108" s="510"/>
      <c r="BW108" s="510"/>
      <c r="BX108" s="510"/>
      <c r="BY108" s="510"/>
      <c r="BZ108" s="510"/>
      <c r="CA108" s="209"/>
      <c r="CB108" s="209"/>
      <c r="CC108" s="209"/>
      <c r="CD108" s="209"/>
      <c r="CE108" s="209"/>
      <c r="CF108" s="209"/>
      <c r="CG108" s="209"/>
      <c r="CH108" s="209"/>
      <c r="CI108" s="209"/>
      <c r="CJ108" s="209"/>
    </row>
    <row r="109" spans="1:92" s="204" customFormat="1" ht="15.75" customHeight="1" x14ac:dyDescent="0.25">
      <c r="A109" s="214" t="s">
        <v>169</v>
      </c>
      <c r="B109" s="215"/>
      <c r="C109" s="1009" t="s">
        <v>168</v>
      </c>
      <c r="D109" s="1024"/>
      <c r="E109" s="1009" t="s">
        <v>32</v>
      </c>
      <c r="F109" s="1024"/>
      <c r="G109" s="1010" t="s">
        <v>241</v>
      </c>
      <c r="H109" s="1010"/>
      <c r="I109" s="1004" t="s">
        <v>174</v>
      </c>
      <c r="J109" s="1005"/>
      <c r="K109" s="28"/>
      <c r="L109" s="202"/>
      <c r="M109" s="420"/>
      <c r="N109" s="420"/>
      <c r="O109" s="420"/>
      <c r="P109" s="420"/>
      <c r="Q109" s="420"/>
      <c r="R109" s="420"/>
      <c r="S109" s="420"/>
      <c r="T109" s="420"/>
      <c r="U109" s="420"/>
      <c r="V109" s="420"/>
      <c r="W109" s="420"/>
      <c r="X109" s="420"/>
      <c r="Y109" s="420"/>
      <c r="Z109" s="420"/>
      <c r="AA109" s="420"/>
      <c r="AB109" s="420"/>
      <c r="AC109" s="420"/>
      <c r="AD109" s="420"/>
      <c r="AE109" s="420"/>
      <c r="AF109" s="420"/>
      <c r="AG109" s="420"/>
      <c r="AH109" s="420"/>
      <c r="AI109" s="420"/>
      <c r="AJ109" s="420"/>
      <c r="AK109" s="420"/>
      <c r="AL109" s="420"/>
      <c r="AM109" s="420"/>
      <c r="AN109" s="420"/>
      <c r="AO109" s="420"/>
      <c r="AP109" s="420"/>
      <c r="AQ109" s="420"/>
      <c r="AR109" s="420"/>
      <c r="AS109" s="420"/>
      <c r="AT109" s="420"/>
      <c r="AU109" s="420"/>
      <c r="AV109" s="420"/>
      <c r="AW109" s="420"/>
      <c r="AX109" s="420"/>
      <c r="AY109" s="420"/>
      <c r="AZ109" s="420"/>
      <c r="BA109" s="420"/>
      <c r="BB109" s="420"/>
      <c r="BC109" s="420"/>
      <c r="BD109" s="420"/>
      <c r="BE109" s="420"/>
      <c r="BF109" s="420"/>
      <c r="BG109" s="420"/>
      <c r="BH109" s="420"/>
      <c r="BI109" s="420"/>
      <c r="BJ109" s="420"/>
      <c r="BK109" s="420"/>
      <c r="BL109" s="420"/>
      <c r="BM109" s="420"/>
      <c r="BN109" s="420"/>
      <c r="BO109" s="420"/>
      <c r="BP109" s="420"/>
      <c r="BQ109" s="420"/>
      <c r="BR109" s="420"/>
      <c r="BS109" s="420"/>
      <c r="BT109" s="420"/>
      <c r="BU109" s="420"/>
      <c r="BV109" s="420"/>
      <c r="BW109" s="420"/>
      <c r="BX109" s="420"/>
      <c r="BY109" s="420"/>
      <c r="BZ109" s="420"/>
      <c r="CA109" s="202"/>
      <c r="CB109" s="202"/>
      <c r="CC109" s="202"/>
      <c r="CD109" s="202"/>
      <c r="CE109" s="202"/>
      <c r="CF109" s="202"/>
      <c r="CG109" s="202"/>
      <c r="CH109" s="202"/>
      <c r="CI109" s="202"/>
      <c r="CJ109" s="202"/>
    </row>
    <row r="110" spans="1:92" s="204" customFormat="1" ht="16.5" customHeight="1" thickBot="1" x14ac:dyDescent="0.3">
      <c r="A110" s="216"/>
      <c r="B110" s="217"/>
      <c r="C110" s="908" t="s">
        <v>231</v>
      </c>
      <c r="D110" s="915"/>
      <c r="E110" s="908" t="s">
        <v>31</v>
      </c>
      <c r="F110" s="915"/>
      <c r="G110" s="909" t="s">
        <v>31</v>
      </c>
      <c r="H110" s="909"/>
      <c r="I110" s="218" t="s">
        <v>157</v>
      </c>
      <c r="J110" s="255" t="s">
        <v>158</v>
      </c>
      <c r="K110" s="28"/>
      <c r="L110" s="202"/>
      <c r="M110" s="420"/>
      <c r="N110" s="420"/>
      <c r="O110" s="420"/>
      <c r="P110" s="420"/>
      <c r="Q110" s="420"/>
      <c r="R110" s="420"/>
      <c r="S110" s="420"/>
      <c r="T110" s="420"/>
      <c r="U110" s="420"/>
      <c r="V110" s="420"/>
      <c r="W110" s="420"/>
      <c r="X110" s="420"/>
      <c r="Y110" s="420"/>
      <c r="Z110" s="420"/>
      <c r="AA110" s="420"/>
      <c r="AB110" s="420"/>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0"/>
      <c r="AY110" s="420"/>
      <c r="AZ110" s="420"/>
      <c r="BA110" s="420"/>
      <c r="BB110" s="420"/>
      <c r="BC110" s="420"/>
      <c r="BD110" s="420"/>
      <c r="BE110" s="420"/>
      <c r="BF110" s="420"/>
      <c r="BG110" s="420"/>
      <c r="BH110" s="420"/>
      <c r="BI110" s="420"/>
      <c r="BJ110" s="420"/>
      <c r="BK110" s="420"/>
      <c r="BL110" s="420"/>
      <c r="BM110" s="420"/>
      <c r="BN110" s="420"/>
      <c r="BO110" s="420"/>
      <c r="BP110" s="420"/>
      <c r="BQ110" s="420"/>
      <c r="BR110" s="420"/>
      <c r="BS110" s="420"/>
      <c r="BT110" s="420"/>
      <c r="BU110" s="420"/>
      <c r="BV110" s="420"/>
      <c r="BW110" s="420"/>
      <c r="BX110" s="420"/>
      <c r="BY110" s="420"/>
      <c r="BZ110" s="420"/>
      <c r="CA110" s="202"/>
      <c r="CB110" s="202"/>
      <c r="CC110" s="202"/>
      <c r="CD110" s="202"/>
      <c r="CE110" s="202"/>
      <c r="CF110" s="202"/>
      <c r="CG110" s="202"/>
      <c r="CH110" s="202"/>
      <c r="CI110" s="202"/>
      <c r="CJ110" s="202"/>
    </row>
    <row r="111" spans="1:92" s="204" customFormat="1" ht="18" customHeight="1" x14ac:dyDescent="0.25">
      <c r="A111" s="995" t="s">
        <v>33</v>
      </c>
      <c r="B111" s="1028"/>
      <c r="C111" s="1031" t="s">
        <v>157</v>
      </c>
      <c r="D111" s="1032"/>
      <c r="E111" s="910"/>
      <c r="F111" s="911"/>
      <c r="G111" s="911"/>
      <c r="H111" s="912"/>
      <c r="I111" s="376" t="str">
        <f>IF(M111=TRUE,E111/2*E111/2*3.1415926*G111," ")</f>
        <v xml:space="preserve"> </v>
      </c>
      <c r="J111" s="271"/>
      <c r="K111" s="28"/>
      <c r="L111" s="202"/>
      <c r="M111" s="420" t="b">
        <f>AND(E111&gt;0.1,G111&gt;0.1)</f>
        <v>0</v>
      </c>
      <c r="N111" s="420"/>
      <c r="O111" s="420"/>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c r="AO111" s="420"/>
      <c r="AP111" s="420"/>
      <c r="AQ111" s="420"/>
      <c r="AR111" s="420"/>
      <c r="AS111" s="420"/>
      <c r="AT111" s="420"/>
      <c r="AU111" s="420"/>
      <c r="AV111" s="420"/>
      <c r="AW111" s="420"/>
      <c r="AX111" s="420"/>
      <c r="AY111" s="420"/>
      <c r="AZ111" s="420"/>
      <c r="BA111" s="420"/>
      <c r="BB111" s="420"/>
      <c r="BC111" s="420"/>
      <c r="BD111" s="420"/>
      <c r="BE111" s="420"/>
      <c r="BF111" s="420"/>
      <c r="BG111" s="420"/>
      <c r="BH111" s="420"/>
      <c r="BI111" s="420"/>
      <c r="BJ111" s="420"/>
      <c r="BK111" s="420"/>
      <c r="BL111" s="420"/>
      <c r="BM111" s="420"/>
      <c r="BN111" s="420"/>
      <c r="BO111" s="420"/>
      <c r="BP111" s="420"/>
      <c r="BQ111" s="420"/>
      <c r="BR111" s="420"/>
      <c r="BS111" s="420"/>
      <c r="BT111" s="420"/>
      <c r="BU111" s="420"/>
      <c r="BV111" s="420"/>
      <c r="BW111" s="420"/>
      <c r="BX111" s="420"/>
      <c r="BY111" s="420"/>
      <c r="BZ111" s="420"/>
      <c r="CA111" s="202"/>
      <c r="CB111" s="202"/>
      <c r="CC111" s="202"/>
      <c r="CD111" s="202"/>
      <c r="CE111" s="202"/>
      <c r="CF111" s="202"/>
      <c r="CG111" s="202"/>
      <c r="CH111" s="202"/>
      <c r="CI111" s="202"/>
      <c r="CJ111" s="202"/>
    </row>
    <row r="112" spans="1:92" s="204" customFormat="1" ht="18" customHeight="1" x14ac:dyDescent="0.25">
      <c r="A112" s="937" t="s">
        <v>34</v>
      </c>
      <c r="B112" s="1023"/>
      <c r="C112" s="943" t="s">
        <v>157</v>
      </c>
      <c r="D112" s="944"/>
      <c r="E112" s="919"/>
      <c r="F112" s="920"/>
      <c r="G112" s="920"/>
      <c r="H112" s="921"/>
      <c r="I112" s="377" t="str">
        <f>IF(M112=TRUE,E112/2*E112/2*3.1415926*G112," ")</f>
        <v xml:space="preserve"> </v>
      </c>
      <c r="J112" s="272"/>
      <c r="K112" s="28"/>
      <c r="L112" s="202"/>
      <c r="M112" s="420" t="b">
        <f>AND(E112&gt;0.1,G112&gt;0.1)</f>
        <v>0</v>
      </c>
      <c r="N112" s="420"/>
      <c r="O112" s="420"/>
      <c r="P112" s="420"/>
      <c r="Q112" s="420"/>
      <c r="R112" s="420"/>
      <c r="S112" s="420"/>
      <c r="T112" s="420"/>
      <c r="U112" s="420"/>
      <c r="V112" s="420"/>
      <c r="W112" s="420"/>
      <c r="X112" s="420"/>
      <c r="Y112" s="420"/>
      <c r="Z112" s="420"/>
      <c r="AA112" s="420"/>
      <c r="AB112" s="420"/>
      <c r="AC112" s="420"/>
      <c r="AD112" s="420"/>
      <c r="AE112" s="420"/>
      <c r="AF112" s="420"/>
      <c r="AG112" s="420"/>
      <c r="AH112" s="420"/>
      <c r="AI112" s="420"/>
      <c r="AJ112" s="420"/>
      <c r="AK112" s="420"/>
      <c r="AL112" s="420"/>
      <c r="AM112" s="420"/>
      <c r="AN112" s="420"/>
      <c r="AO112" s="420"/>
      <c r="AP112" s="420"/>
      <c r="AQ112" s="420"/>
      <c r="AR112" s="420"/>
      <c r="AS112" s="420"/>
      <c r="AT112" s="420"/>
      <c r="AU112" s="420"/>
      <c r="AV112" s="420"/>
      <c r="AW112" s="420"/>
      <c r="AX112" s="420"/>
      <c r="AY112" s="420"/>
      <c r="AZ112" s="420"/>
      <c r="BA112" s="420"/>
      <c r="BB112" s="420"/>
      <c r="BC112" s="420"/>
      <c r="BD112" s="420"/>
      <c r="BE112" s="420"/>
      <c r="BF112" s="420"/>
      <c r="BG112" s="420"/>
      <c r="BH112" s="420"/>
      <c r="BI112" s="420"/>
      <c r="BJ112" s="420"/>
      <c r="BK112" s="420"/>
      <c r="BL112" s="420"/>
      <c r="BM112" s="420"/>
      <c r="BN112" s="420"/>
      <c r="BO112" s="420"/>
      <c r="BP112" s="420"/>
      <c r="BQ112" s="420"/>
      <c r="BR112" s="420"/>
      <c r="BS112" s="420"/>
      <c r="BT112" s="420"/>
      <c r="BU112" s="420"/>
      <c r="BV112" s="420"/>
      <c r="BW112" s="420"/>
      <c r="BX112" s="420"/>
      <c r="BY112" s="420"/>
      <c r="BZ112" s="420"/>
      <c r="CA112" s="202"/>
      <c r="CB112" s="202"/>
      <c r="CC112" s="202"/>
      <c r="CD112" s="202"/>
      <c r="CE112" s="202"/>
      <c r="CF112" s="202"/>
      <c r="CG112" s="202"/>
      <c r="CH112" s="202"/>
      <c r="CI112" s="202"/>
      <c r="CJ112" s="202"/>
    </row>
    <row r="113" spans="1:88" s="204" customFormat="1" ht="18" customHeight="1" x14ac:dyDescent="0.25">
      <c r="A113" s="937" t="s">
        <v>35</v>
      </c>
      <c r="B113" s="1023"/>
      <c r="C113" s="943" t="s">
        <v>157</v>
      </c>
      <c r="D113" s="944"/>
      <c r="E113" s="919"/>
      <c r="F113" s="920"/>
      <c r="G113" s="920"/>
      <c r="H113" s="921"/>
      <c r="I113" s="377" t="str">
        <f>IF(M113=TRUE,E113/2*E113/2*3.1415926*G113," ")</f>
        <v xml:space="preserve"> </v>
      </c>
      <c r="J113" s="272"/>
      <c r="K113" s="28"/>
      <c r="L113" s="202"/>
      <c r="M113" s="420" t="b">
        <f>AND(E113&gt;0.1,G113&gt;0.1)</f>
        <v>0</v>
      </c>
      <c r="N113" s="420"/>
      <c r="O113" s="420"/>
      <c r="P113" s="420"/>
      <c r="Q113" s="420"/>
      <c r="R113" s="420"/>
      <c r="S113" s="420"/>
      <c r="T113" s="420"/>
      <c r="U113" s="420"/>
      <c r="V113" s="420"/>
      <c r="W113" s="420"/>
      <c r="X113" s="420"/>
      <c r="Y113" s="420"/>
      <c r="Z113" s="420"/>
      <c r="AA113" s="420"/>
      <c r="AB113" s="420"/>
      <c r="AC113" s="420"/>
      <c r="AD113" s="420"/>
      <c r="AE113" s="420"/>
      <c r="AF113" s="420"/>
      <c r="AG113" s="420"/>
      <c r="AH113" s="420"/>
      <c r="AI113" s="420"/>
      <c r="AJ113" s="420"/>
      <c r="AK113" s="420"/>
      <c r="AL113" s="420"/>
      <c r="AM113" s="420"/>
      <c r="AN113" s="420"/>
      <c r="AO113" s="420"/>
      <c r="AP113" s="420"/>
      <c r="AQ113" s="420"/>
      <c r="AR113" s="420"/>
      <c r="AS113" s="420"/>
      <c r="AT113" s="420"/>
      <c r="AU113" s="420"/>
      <c r="AV113" s="420"/>
      <c r="AW113" s="420"/>
      <c r="AX113" s="420"/>
      <c r="AY113" s="420"/>
      <c r="AZ113" s="420"/>
      <c r="BA113" s="420"/>
      <c r="BB113" s="420"/>
      <c r="BC113" s="420"/>
      <c r="BD113" s="420"/>
      <c r="BE113" s="420"/>
      <c r="BF113" s="420"/>
      <c r="BG113" s="420"/>
      <c r="BH113" s="420"/>
      <c r="BI113" s="420"/>
      <c r="BJ113" s="420"/>
      <c r="BK113" s="420"/>
      <c r="BL113" s="420"/>
      <c r="BM113" s="420"/>
      <c r="BN113" s="420"/>
      <c r="BO113" s="420"/>
      <c r="BP113" s="420"/>
      <c r="BQ113" s="420"/>
      <c r="BR113" s="420"/>
      <c r="BS113" s="420"/>
      <c r="BT113" s="420"/>
      <c r="BU113" s="420"/>
      <c r="BV113" s="420"/>
      <c r="BW113" s="420"/>
      <c r="BX113" s="420"/>
      <c r="BY113" s="420"/>
      <c r="BZ113" s="420"/>
      <c r="CA113" s="202"/>
      <c r="CB113" s="202"/>
      <c r="CC113" s="202"/>
      <c r="CD113" s="202"/>
      <c r="CE113" s="202"/>
      <c r="CF113" s="202"/>
      <c r="CG113" s="202"/>
      <c r="CH113" s="202"/>
      <c r="CI113" s="202"/>
      <c r="CJ113" s="202"/>
    </row>
    <row r="114" spans="1:88" s="204" customFormat="1" ht="18" customHeight="1" thickBot="1" x14ac:dyDescent="0.3">
      <c r="A114" s="939" t="s">
        <v>37</v>
      </c>
      <c r="B114" s="997"/>
      <c r="C114" s="941" t="s">
        <v>157</v>
      </c>
      <c r="D114" s="942"/>
      <c r="E114" s="916"/>
      <c r="F114" s="917"/>
      <c r="G114" s="917"/>
      <c r="H114" s="918"/>
      <c r="I114" s="378" t="str">
        <f>IF(M114=TRUE,E114/2*E114/2*3.1415926*G114," ")</f>
        <v xml:space="preserve"> </v>
      </c>
      <c r="J114" s="273"/>
      <c r="K114" s="28"/>
      <c r="L114" s="202"/>
      <c r="M114" s="420" t="b">
        <f>AND(E114&gt;0.1,G114&gt;0.1)</f>
        <v>0</v>
      </c>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c r="AR114" s="420"/>
      <c r="AS114" s="420"/>
      <c r="AT114" s="420"/>
      <c r="AU114" s="420"/>
      <c r="AV114" s="420"/>
      <c r="AW114" s="420"/>
      <c r="AX114" s="420"/>
      <c r="AY114" s="420"/>
      <c r="AZ114" s="420"/>
      <c r="BA114" s="420"/>
      <c r="BB114" s="420"/>
      <c r="BC114" s="420"/>
      <c r="BD114" s="420"/>
      <c r="BE114" s="420"/>
      <c r="BF114" s="420"/>
      <c r="BG114" s="420"/>
      <c r="BH114" s="420"/>
      <c r="BI114" s="420"/>
      <c r="BJ114" s="420"/>
      <c r="BK114" s="420"/>
      <c r="BL114" s="420"/>
      <c r="BM114" s="420"/>
      <c r="BN114" s="420"/>
      <c r="BO114" s="420"/>
      <c r="BP114" s="420"/>
      <c r="BQ114" s="420"/>
      <c r="BR114" s="420"/>
      <c r="BS114" s="420"/>
      <c r="BT114" s="420"/>
      <c r="BU114" s="420"/>
      <c r="BV114" s="420"/>
      <c r="BW114" s="420"/>
      <c r="BX114" s="420"/>
      <c r="BY114" s="420"/>
      <c r="BZ114" s="420"/>
      <c r="CA114" s="202"/>
      <c r="CB114" s="202"/>
      <c r="CC114" s="202"/>
      <c r="CD114" s="202"/>
      <c r="CE114" s="202"/>
      <c r="CF114" s="202"/>
      <c r="CG114" s="202"/>
      <c r="CH114" s="202"/>
      <c r="CI114" s="202"/>
      <c r="CJ114" s="202"/>
    </row>
    <row r="115" spans="1:88" s="204" customFormat="1" ht="16.5" customHeight="1" x14ac:dyDescent="0.25">
      <c r="A115" s="219" t="s">
        <v>170</v>
      </c>
      <c r="B115" s="220"/>
      <c r="C115" s="908" t="s">
        <v>168</v>
      </c>
      <c r="D115" s="915"/>
      <c r="E115" s="254" t="s">
        <v>36</v>
      </c>
      <c r="F115" s="254" t="s">
        <v>39</v>
      </c>
      <c r="G115" s="908" t="s">
        <v>241</v>
      </c>
      <c r="H115" s="909"/>
      <c r="I115" s="241"/>
      <c r="J115" s="237"/>
      <c r="K115" s="28"/>
      <c r="L115" s="202"/>
      <c r="M115" s="420"/>
      <c r="N115" s="420"/>
      <c r="O115" s="420"/>
      <c r="P115" s="420"/>
      <c r="Q115" s="420"/>
      <c r="R115" s="420"/>
      <c r="S115" s="420"/>
      <c r="T115" s="420"/>
      <c r="U115" s="420"/>
      <c r="V115" s="420"/>
      <c r="W115" s="420"/>
      <c r="X115" s="420"/>
      <c r="Y115" s="420"/>
      <c r="Z115" s="420"/>
      <c r="AA115" s="420"/>
      <c r="AB115" s="420"/>
      <c r="AC115" s="420"/>
      <c r="AD115" s="420"/>
      <c r="AE115" s="420"/>
      <c r="AF115" s="420"/>
      <c r="AG115" s="420"/>
      <c r="AH115" s="420"/>
      <c r="AI115" s="420"/>
      <c r="AJ115" s="420"/>
      <c r="AK115" s="420"/>
      <c r="AL115" s="420"/>
      <c r="AM115" s="420"/>
      <c r="AN115" s="420"/>
      <c r="AO115" s="420"/>
      <c r="AP115" s="420"/>
      <c r="AQ115" s="420"/>
      <c r="AR115" s="420"/>
      <c r="AS115" s="420"/>
      <c r="AT115" s="420"/>
      <c r="AU115" s="420"/>
      <c r="AV115" s="420"/>
      <c r="AW115" s="420"/>
      <c r="AX115" s="420"/>
      <c r="AY115" s="420"/>
      <c r="AZ115" s="420"/>
      <c r="BA115" s="420"/>
      <c r="BB115" s="420"/>
      <c r="BC115" s="420"/>
      <c r="BD115" s="420"/>
      <c r="BE115" s="420"/>
      <c r="BF115" s="420"/>
      <c r="BG115" s="420"/>
      <c r="BH115" s="420"/>
      <c r="BI115" s="420"/>
      <c r="BJ115" s="420"/>
      <c r="BK115" s="420"/>
      <c r="BL115" s="420"/>
      <c r="BM115" s="420"/>
      <c r="BN115" s="420"/>
      <c r="BO115" s="420"/>
      <c r="BP115" s="420"/>
      <c r="BQ115" s="420"/>
      <c r="BR115" s="420"/>
      <c r="BS115" s="420"/>
      <c r="BT115" s="420"/>
      <c r="BU115" s="420"/>
      <c r="BV115" s="420"/>
      <c r="BW115" s="420"/>
      <c r="BX115" s="420"/>
      <c r="BY115" s="420"/>
      <c r="BZ115" s="420"/>
      <c r="CA115" s="202"/>
      <c r="CB115" s="202"/>
      <c r="CC115" s="202"/>
      <c r="CD115" s="202"/>
      <c r="CE115" s="202"/>
      <c r="CF115" s="202"/>
      <c r="CG115" s="202"/>
      <c r="CH115" s="202"/>
      <c r="CI115" s="202"/>
      <c r="CJ115" s="202"/>
    </row>
    <row r="116" spans="1:88" s="204" customFormat="1" ht="16.5" customHeight="1" thickBot="1" x14ac:dyDescent="0.3">
      <c r="A116" s="219" t="s">
        <v>171</v>
      </c>
      <c r="B116" s="220"/>
      <c r="C116" s="908" t="s">
        <v>231</v>
      </c>
      <c r="D116" s="915"/>
      <c r="E116" s="254" t="s">
        <v>31</v>
      </c>
      <c r="F116" s="254" t="s">
        <v>31</v>
      </c>
      <c r="G116" s="993" t="s">
        <v>31</v>
      </c>
      <c r="H116" s="994"/>
      <c r="I116" s="237"/>
      <c r="J116" s="237"/>
      <c r="K116" s="28"/>
      <c r="L116" s="202"/>
      <c r="M116" s="420"/>
      <c r="N116" s="420"/>
      <c r="O116" s="420"/>
      <c r="P116" s="420"/>
      <c r="Q116" s="420"/>
      <c r="R116" s="420" t="s">
        <v>23</v>
      </c>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0"/>
      <c r="BD116" s="420"/>
      <c r="BE116" s="420"/>
      <c r="BF116" s="420"/>
      <c r="BG116" s="420"/>
      <c r="BH116" s="420"/>
      <c r="BI116" s="420"/>
      <c r="BJ116" s="420"/>
      <c r="BK116" s="420"/>
      <c r="BL116" s="420"/>
      <c r="BM116" s="420"/>
      <c r="BN116" s="420"/>
      <c r="BO116" s="420"/>
      <c r="BP116" s="420"/>
      <c r="BQ116" s="420"/>
      <c r="BR116" s="420"/>
      <c r="BS116" s="420"/>
      <c r="BT116" s="420"/>
      <c r="BU116" s="420"/>
      <c r="BV116" s="420"/>
      <c r="BW116" s="420"/>
      <c r="BX116" s="420"/>
      <c r="BY116" s="420"/>
      <c r="BZ116" s="420"/>
      <c r="CA116" s="202"/>
      <c r="CB116" s="202"/>
      <c r="CC116" s="202"/>
      <c r="CD116" s="202"/>
      <c r="CE116" s="202"/>
      <c r="CF116" s="202"/>
      <c r="CG116" s="202"/>
      <c r="CH116" s="202"/>
      <c r="CI116" s="202"/>
      <c r="CJ116" s="202"/>
    </row>
    <row r="117" spans="1:88" s="204" customFormat="1" ht="18" customHeight="1" x14ac:dyDescent="0.25">
      <c r="A117" s="995" t="s">
        <v>172</v>
      </c>
      <c r="B117" s="996"/>
      <c r="C117" s="935"/>
      <c r="D117" s="936"/>
      <c r="E117" s="268"/>
      <c r="F117" s="243"/>
      <c r="G117" s="911"/>
      <c r="H117" s="912"/>
      <c r="I117" s="376" t="str">
        <f>IF(M117=TRUE,IF(U117=2,E117*F117*G117," ")," ")</f>
        <v xml:space="preserve"> </v>
      </c>
      <c r="J117" s="379" t="str">
        <f>IF(M117=TRUE,IF(U117=3,E117*F117*G117," ")," ")</f>
        <v xml:space="preserve"> </v>
      </c>
      <c r="K117" s="28"/>
      <c r="L117" s="202"/>
      <c r="M117" s="420" t="b">
        <f>AND(E117&gt;0.1,F117&gt;0.1,G117&gt;0.1)</f>
        <v>0</v>
      </c>
      <c r="N117" s="420"/>
      <c r="O117" s="420"/>
      <c r="P117" s="420"/>
      <c r="Q117" s="420"/>
      <c r="R117" s="420" t="s">
        <v>157</v>
      </c>
      <c r="S117" s="420"/>
      <c r="T117" s="420"/>
      <c r="U117" s="420">
        <v>1</v>
      </c>
      <c r="V117" s="420"/>
      <c r="W117" s="420"/>
      <c r="X117" s="420"/>
      <c r="Y117" s="420"/>
      <c r="Z117" s="420"/>
      <c r="AA117" s="420"/>
      <c r="AB117" s="420"/>
      <c r="AC117" s="420"/>
      <c r="AD117" s="420"/>
      <c r="AE117" s="420"/>
      <c r="AF117" s="420"/>
      <c r="AG117" s="420"/>
      <c r="AH117" s="420"/>
      <c r="AI117" s="420"/>
      <c r="AJ117" s="420"/>
      <c r="AK117" s="420"/>
      <c r="AL117" s="420"/>
      <c r="AM117" s="420"/>
      <c r="AN117" s="420"/>
      <c r="AO117" s="420"/>
      <c r="AP117" s="420"/>
      <c r="AQ117" s="420"/>
      <c r="AR117" s="420"/>
      <c r="AS117" s="420"/>
      <c r="AT117" s="420"/>
      <c r="AU117" s="420"/>
      <c r="AV117" s="420"/>
      <c r="AW117" s="420"/>
      <c r="AX117" s="420"/>
      <c r="AY117" s="420"/>
      <c r="AZ117" s="420"/>
      <c r="BA117" s="420"/>
      <c r="BB117" s="420"/>
      <c r="BC117" s="420"/>
      <c r="BD117" s="420"/>
      <c r="BE117" s="420"/>
      <c r="BF117" s="420"/>
      <c r="BG117" s="420"/>
      <c r="BH117" s="420"/>
      <c r="BI117" s="420"/>
      <c r="BJ117" s="420"/>
      <c r="BK117" s="420"/>
      <c r="BL117" s="420"/>
      <c r="BM117" s="420"/>
      <c r="BN117" s="420"/>
      <c r="BO117" s="420"/>
      <c r="BP117" s="420"/>
      <c r="BQ117" s="420"/>
      <c r="BR117" s="420"/>
      <c r="BS117" s="420"/>
      <c r="BT117" s="420"/>
      <c r="BU117" s="420"/>
      <c r="BV117" s="420"/>
      <c r="BW117" s="420"/>
      <c r="BX117" s="420"/>
      <c r="BY117" s="420"/>
      <c r="BZ117" s="420"/>
      <c r="CA117" s="202"/>
      <c r="CB117" s="202"/>
      <c r="CC117" s="202"/>
      <c r="CD117" s="202"/>
      <c r="CE117" s="202"/>
      <c r="CF117" s="202"/>
      <c r="CG117" s="202"/>
      <c r="CH117" s="202"/>
      <c r="CI117" s="202"/>
      <c r="CJ117" s="202"/>
    </row>
    <row r="118" spans="1:88" s="204" customFormat="1" ht="18" customHeight="1" x14ac:dyDescent="0.25">
      <c r="A118" s="937" t="s">
        <v>198</v>
      </c>
      <c r="B118" s="938"/>
      <c r="C118" s="913"/>
      <c r="D118" s="914"/>
      <c r="E118" s="269"/>
      <c r="F118" s="244"/>
      <c r="G118" s="920"/>
      <c r="H118" s="921"/>
      <c r="I118" s="377" t="str">
        <f>IF(M118=TRUE,IF(U118=2,E118*F118*G118," ")," ")</f>
        <v xml:space="preserve"> </v>
      </c>
      <c r="J118" s="380" t="str">
        <f>IF(M118=TRUE,IF(U118=3,E118*F118*G118," ")," ")</f>
        <v xml:space="preserve"> </v>
      </c>
      <c r="K118" s="28"/>
      <c r="L118" s="202"/>
      <c r="M118" s="420" t="b">
        <f>AND(E118&gt;0.1,F118&gt;0.1,G118&gt;0.1)</f>
        <v>0</v>
      </c>
      <c r="N118" s="420"/>
      <c r="O118" s="420"/>
      <c r="P118" s="420"/>
      <c r="Q118" s="420"/>
      <c r="R118" s="420" t="s">
        <v>158</v>
      </c>
      <c r="S118" s="420"/>
      <c r="T118" s="420"/>
      <c r="U118" s="420">
        <v>1</v>
      </c>
      <c r="V118" s="420"/>
      <c r="W118" s="420"/>
      <c r="X118" s="420"/>
      <c r="Y118" s="420"/>
      <c r="Z118" s="420"/>
      <c r="AA118" s="420"/>
      <c r="AB118" s="420"/>
      <c r="AC118" s="420"/>
      <c r="AD118" s="420"/>
      <c r="AE118" s="420"/>
      <c r="AF118" s="420"/>
      <c r="AG118" s="420"/>
      <c r="AH118" s="420"/>
      <c r="AI118" s="420"/>
      <c r="AJ118" s="420"/>
      <c r="AK118" s="420"/>
      <c r="AL118" s="420"/>
      <c r="AM118" s="420"/>
      <c r="AN118" s="420"/>
      <c r="AO118" s="420"/>
      <c r="AP118" s="420"/>
      <c r="AQ118" s="420"/>
      <c r="AR118" s="420"/>
      <c r="AS118" s="420"/>
      <c r="AT118" s="420"/>
      <c r="AU118" s="420"/>
      <c r="AV118" s="420"/>
      <c r="AW118" s="420"/>
      <c r="AX118" s="420"/>
      <c r="AY118" s="420"/>
      <c r="AZ118" s="420"/>
      <c r="BA118" s="420"/>
      <c r="BB118" s="420"/>
      <c r="BC118" s="420"/>
      <c r="BD118" s="420"/>
      <c r="BE118" s="420"/>
      <c r="BF118" s="420"/>
      <c r="BG118" s="420"/>
      <c r="BH118" s="420"/>
      <c r="BI118" s="420"/>
      <c r="BJ118" s="420"/>
      <c r="BK118" s="420"/>
      <c r="BL118" s="420"/>
      <c r="BM118" s="420"/>
      <c r="BN118" s="420"/>
      <c r="BO118" s="420"/>
      <c r="BP118" s="420"/>
      <c r="BQ118" s="420"/>
      <c r="BR118" s="420"/>
      <c r="BS118" s="420"/>
      <c r="BT118" s="420"/>
      <c r="BU118" s="420"/>
      <c r="BV118" s="420"/>
      <c r="BW118" s="420"/>
      <c r="BX118" s="420"/>
      <c r="BY118" s="420"/>
      <c r="BZ118" s="420"/>
      <c r="CA118" s="202"/>
      <c r="CB118" s="202"/>
      <c r="CC118" s="202"/>
      <c r="CD118" s="202"/>
      <c r="CE118" s="202"/>
      <c r="CF118" s="202"/>
      <c r="CG118" s="202"/>
      <c r="CH118" s="202"/>
      <c r="CI118" s="202"/>
      <c r="CJ118" s="202"/>
    </row>
    <row r="119" spans="1:88" s="204" customFormat="1" ht="18" customHeight="1" x14ac:dyDescent="0.25">
      <c r="A119" s="937" t="s">
        <v>199</v>
      </c>
      <c r="B119" s="938"/>
      <c r="C119" s="913"/>
      <c r="D119" s="914"/>
      <c r="E119" s="269"/>
      <c r="F119" s="244"/>
      <c r="G119" s="920"/>
      <c r="H119" s="921"/>
      <c r="I119" s="377" t="str">
        <f>IF(M119=TRUE,IF(U119=2,E119*F119*G119," ")," ")</f>
        <v xml:space="preserve"> </v>
      </c>
      <c r="J119" s="380" t="str">
        <f>IF(M119=TRUE,IF(U119=3,E119*F119*G119," ")," ")</f>
        <v xml:space="preserve"> </v>
      </c>
      <c r="K119" s="28"/>
      <c r="L119" s="202"/>
      <c r="M119" s="420" t="b">
        <f>AND(E119&gt;0.1,F119&gt;0.1,G119&gt;0.1)</f>
        <v>0</v>
      </c>
      <c r="N119" s="420"/>
      <c r="O119" s="420"/>
      <c r="P119" s="420"/>
      <c r="Q119" s="420"/>
      <c r="R119" s="420"/>
      <c r="S119" s="420"/>
      <c r="T119" s="420"/>
      <c r="U119" s="420">
        <v>1</v>
      </c>
      <c r="V119" s="420"/>
      <c r="W119" s="420"/>
      <c r="X119" s="420"/>
      <c r="Y119" s="420"/>
      <c r="Z119" s="420"/>
      <c r="AA119" s="420"/>
      <c r="AB119" s="420"/>
      <c r="AC119" s="420"/>
      <c r="AD119" s="420"/>
      <c r="AE119" s="420"/>
      <c r="AF119" s="420"/>
      <c r="AG119" s="420"/>
      <c r="AH119" s="420"/>
      <c r="AI119" s="420"/>
      <c r="AJ119" s="420"/>
      <c r="AK119" s="420"/>
      <c r="AL119" s="420"/>
      <c r="AM119" s="420"/>
      <c r="AN119" s="420"/>
      <c r="AO119" s="420"/>
      <c r="AP119" s="420"/>
      <c r="AQ119" s="420"/>
      <c r="AR119" s="420"/>
      <c r="AS119" s="420"/>
      <c r="AT119" s="420"/>
      <c r="AU119" s="420"/>
      <c r="AV119" s="420"/>
      <c r="AW119" s="420"/>
      <c r="AX119" s="420"/>
      <c r="AY119" s="420"/>
      <c r="AZ119" s="420"/>
      <c r="BA119" s="420"/>
      <c r="BB119" s="420"/>
      <c r="BC119" s="420"/>
      <c r="BD119" s="420"/>
      <c r="BE119" s="420"/>
      <c r="BF119" s="420"/>
      <c r="BG119" s="420"/>
      <c r="BH119" s="420"/>
      <c r="BI119" s="420"/>
      <c r="BJ119" s="420"/>
      <c r="BK119" s="420"/>
      <c r="BL119" s="420"/>
      <c r="BM119" s="420"/>
      <c r="BN119" s="420"/>
      <c r="BO119" s="420"/>
      <c r="BP119" s="420"/>
      <c r="BQ119" s="420"/>
      <c r="BR119" s="420"/>
      <c r="BS119" s="420"/>
      <c r="BT119" s="420"/>
      <c r="BU119" s="420"/>
      <c r="BV119" s="420"/>
      <c r="BW119" s="420"/>
      <c r="BX119" s="420"/>
      <c r="BY119" s="420"/>
      <c r="BZ119" s="420"/>
      <c r="CA119" s="202"/>
      <c r="CB119" s="202"/>
      <c r="CC119" s="202"/>
      <c r="CD119" s="202"/>
      <c r="CE119" s="202"/>
      <c r="CF119" s="202"/>
      <c r="CG119" s="202"/>
      <c r="CH119" s="202"/>
      <c r="CI119" s="202"/>
      <c r="CJ119" s="202"/>
    </row>
    <row r="120" spans="1:88" s="204" customFormat="1" ht="18" customHeight="1" thickBot="1" x14ac:dyDescent="0.3">
      <c r="A120" s="939" t="s">
        <v>200</v>
      </c>
      <c r="B120" s="940"/>
      <c r="C120" s="924"/>
      <c r="D120" s="925"/>
      <c r="E120" s="270"/>
      <c r="F120" s="245"/>
      <c r="G120" s="917"/>
      <c r="H120" s="918"/>
      <c r="I120" s="378" t="str">
        <f>IF(M120=TRUE,IF(U120=2,E120*F120*G120," ")," ")</f>
        <v xml:space="preserve"> </v>
      </c>
      <c r="J120" s="381" t="str">
        <f>IF(M120=TRUE,IF(U120=3,E120*F120*G120," ")," ")</f>
        <v xml:space="preserve"> </v>
      </c>
      <c r="K120" s="28"/>
      <c r="L120" s="202"/>
      <c r="M120" s="420" t="b">
        <f>AND(E120&gt;0.1,F120&gt;0.1,G120&gt;0.1)</f>
        <v>0</v>
      </c>
      <c r="N120" s="420"/>
      <c r="O120" s="420"/>
      <c r="P120" s="420"/>
      <c r="Q120" s="420"/>
      <c r="R120" s="420"/>
      <c r="S120" s="420"/>
      <c r="T120" s="420"/>
      <c r="U120" s="420">
        <v>1</v>
      </c>
      <c r="V120" s="420"/>
      <c r="W120" s="420"/>
      <c r="X120" s="420"/>
      <c r="Y120" s="420"/>
      <c r="Z120" s="420"/>
      <c r="AA120" s="420"/>
      <c r="AB120" s="420"/>
      <c r="AC120" s="420"/>
      <c r="AD120" s="420"/>
      <c r="AE120" s="420"/>
      <c r="AF120" s="420"/>
      <c r="AG120" s="420"/>
      <c r="AH120" s="420"/>
      <c r="AI120" s="420"/>
      <c r="AJ120" s="420"/>
      <c r="AK120" s="420"/>
      <c r="AL120" s="420"/>
      <c r="AM120" s="420"/>
      <c r="AN120" s="420"/>
      <c r="AO120" s="420"/>
      <c r="AP120" s="420"/>
      <c r="AQ120" s="420"/>
      <c r="AR120" s="420"/>
      <c r="AS120" s="420"/>
      <c r="AT120" s="420"/>
      <c r="AU120" s="420"/>
      <c r="AV120" s="420"/>
      <c r="AW120" s="420"/>
      <c r="AX120" s="420"/>
      <c r="AY120" s="420"/>
      <c r="AZ120" s="420"/>
      <c r="BA120" s="420"/>
      <c r="BB120" s="420"/>
      <c r="BC120" s="420"/>
      <c r="BD120" s="420"/>
      <c r="BE120" s="420"/>
      <c r="BF120" s="420"/>
      <c r="BG120" s="420"/>
      <c r="BH120" s="420"/>
      <c r="BI120" s="420"/>
      <c r="BJ120" s="420"/>
      <c r="BK120" s="420"/>
      <c r="BL120" s="420"/>
      <c r="BM120" s="420"/>
      <c r="BN120" s="420"/>
      <c r="BO120" s="420"/>
      <c r="BP120" s="420"/>
      <c r="BQ120" s="420"/>
      <c r="BR120" s="420"/>
      <c r="BS120" s="420"/>
      <c r="BT120" s="420"/>
      <c r="BU120" s="420"/>
      <c r="BV120" s="420"/>
      <c r="BW120" s="420"/>
      <c r="BX120" s="420"/>
      <c r="BY120" s="420"/>
      <c r="BZ120" s="420"/>
      <c r="CA120" s="202"/>
      <c r="CB120" s="202"/>
      <c r="CC120" s="202"/>
      <c r="CD120" s="202"/>
      <c r="CE120" s="202"/>
      <c r="CF120" s="202"/>
      <c r="CG120" s="202"/>
      <c r="CH120" s="202"/>
      <c r="CI120" s="202"/>
      <c r="CJ120" s="202"/>
    </row>
    <row r="121" spans="1:88" s="204" customFormat="1" ht="21" customHeight="1" thickBot="1" x14ac:dyDescent="0.3">
      <c r="A121" s="932" t="s">
        <v>234</v>
      </c>
      <c r="B121" s="933"/>
      <c r="C121" s="933"/>
      <c r="D121" s="933"/>
      <c r="E121" s="933"/>
      <c r="F121" s="933"/>
      <c r="G121" s="933"/>
      <c r="H121" s="934"/>
      <c r="I121" s="242"/>
      <c r="J121" s="242"/>
      <c r="K121" s="28"/>
      <c r="L121" s="202"/>
      <c r="M121" s="420"/>
      <c r="N121" s="420"/>
      <c r="O121" s="420"/>
      <c r="P121" s="420"/>
      <c r="Q121" s="420"/>
      <c r="R121" s="420"/>
      <c r="S121" s="420"/>
      <c r="T121" s="420"/>
      <c r="U121" s="420"/>
      <c r="V121" s="420"/>
      <c r="W121" s="420"/>
      <c r="X121" s="420"/>
      <c r="Y121" s="420"/>
      <c r="Z121" s="420"/>
      <c r="AA121" s="420"/>
      <c r="AB121" s="420"/>
      <c r="AC121" s="420"/>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0"/>
      <c r="AY121" s="420"/>
      <c r="AZ121" s="420"/>
      <c r="BA121" s="420"/>
      <c r="BB121" s="420"/>
      <c r="BC121" s="420"/>
      <c r="BD121" s="420"/>
      <c r="BE121" s="420"/>
      <c r="BF121" s="420"/>
      <c r="BG121" s="420"/>
      <c r="BH121" s="420"/>
      <c r="BI121" s="420"/>
      <c r="BJ121" s="420"/>
      <c r="BK121" s="420"/>
      <c r="BL121" s="420"/>
      <c r="BM121" s="420"/>
      <c r="BN121" s="420"/>
      <c r="BO121" s="420"/>
      <c r="BP121" s="420"/>
      <c r="BQ121" s="420"/>
      <c r="BR121" s="420"/>
      <c r="BS121" s="420"/>
      <c r="BT121" s="420"/>
      <c r="BU121" s="420"/>
      <c r="BV121" s="420"/>
      <c r="BW121" s="420"/>
      <c r="BX121" s="420"/>
      <c r="BY121" s="420"/>
      <c r="BZ121" s="420"/>
      <c r="CA121" s="202"/>
      <c r="CB121" s="202"/>
      <c r="CC121" s="202"/>
      <c r="CD121" s="202"/>
      <c r="CE121" s="202"/>
      <c r="CF121" s="202"/>
      <c r="CG121" s="202"/>
      <c r="CH121" s="202"/>
      <c r="CI121" s="202"/>
      <c r="CJ121" s="202"/>
    </row>
    <row r="122" spans="1:88" s="204" customFormat="1" ht="18" customHeight="1" x14ac:dyDescent="0.25">
      <c r="A122" s="928" t="s">
        <v>173</v>
      </c>
      <c r="B122" s="929"/>
      <c r="C122" s="910"/>
      <c r="D122" s="911"/>
      <c r="E122" s="911"/>
      <c r="F122" s="911"/>
      <c r="G122" s="911"/>
      <c r="H122" s="912"/>
      <c r="I122" s="249"/>
      <c r="J122" s="246"/>
      <c r="K122" s="28"/>
      <c r="L122" s="202"/>
      <c r="M122" s="420"/>
      <c r="O122" s="420"/>
      <c r="P122" s="420"/>
      <c r="Q122" s="420"/>
      <c r="R122" s="420"/>
      <c r="S122" s="420"/>
      <c r="T122" s="420"/>
      <c r="U122" s="420"/>
      <c r="V122" s="420"/>
      <c r="W122" s="420"/>
      <c r="X122" s="420"/>
      <c r="Y122" s="420"/>
      <c r="Z122" s="420"/>
      <c r="AA122" s="420"/>
      <c r="AB122" s="420"/>
      <c r="AC122" s="420"/>
      <c r="AD122" s="420"/>
      <c r="AE122" s="420"/>
      <c r="AF122" s="420"/>
      <c r="AG122" s="420"/>
      <c r="AH122" s="420"/>
      <c r="AI122" s="420"/>
      <c r="AJ122" s="420"/>
      <c r="AK122" s="420"/>
      <c r="AL122" s="420"/>
      <c r="AM122" s="420"/>
      <c r="AN122" s="420"/>
      <c r="AO122" s="420"/>
      <c r="AP122" s="420"/>
      <c r="AQ122" s="420"/>
      <c r="AR122" s="420"/>
      <c r="AS122" s="420"/>
      <c r="AT122" s="420"/>
      <c r="AU122" s="420"/>
      <c r="AV122" s="420"/>
      <c r="AW122" s="420"/>
      <c r="AX122" s="420"/>
      <c r="AY122" s="420"/>
      <c r="AZ122" s="420"/>
      <c r="BA122" s="420"/>
      <c r="BB122" s="420"/>
      <c r="BC122" s="420"/>
      <c r="BD122" s="420"/>
      <c r="BE122" s="420"/>
      <c r="BF122" s="420"/>
      <c r="BG122" s="420"/>
      <c r="BH122" s="420"/>
      <c r="BI122" s="420"/>
      <c r="BJ122" s="420"/>
      <c r="BK122" s="420"/>
      <c r="BL122" s="420"/>
      <c r="BM122" s="420"/>
      <c r="BN122" s="420"/>
      <c r="BO122" s="420"/>
      <c r="BP122" s="420"/>
      <c r="BQ122" s="420"/>
      <c r="BR122" s="420"/>
      <c r="BS122" s="420"/>
      <c r="BT122" s="420"/>
      <c r="BU122" s="420"/>
      <c r="BV122" s="420"/>
      <c r="BW122" s="420"/>
      <c r="BX122" s="420"/>
      <c r="BY122" s="420"/>
      <c r="BZ122" s="420"/>
      <c r="CA122" s="202"/>
      <c r="CB122" s="202"/>
      <c r="CC122" s="202"/>
      <c r="CD122" s="202"/>
      <c r="CE122" s="202"/>
      <c r="CF122" s="202"/>
      <c r="CG122" s="202"/>
      <c r="CH122" s="202"/>
      <c r="CI122" s="202"/>
      <c r="CJ122" s="202"/>
    </row>
    <row r="123" spans="1:88" s="204" customFormat="1" ht="18" customHeight="1" x14ac:dyDescent="0.25">
      <c r="A123" s="926" t="s">
        <v>175</v>
      </c>
      <c r="B123" s="927"/>
      <c r="C123" s="919"/>
      <c r="D123" s="920"/>
      <c r="E123" s="920"/>
      <c r="F123" s="920"/>
      <c r="G123" s="920"/>
      <c r="H123" s="921"/>
      <c r="I123" s="250"/>
      <c r="J123" s="247"/>
      <c r="K123" s="28"/>
      <c r="L123" s="202"/>
      <c r="M123" s="420"/>
      <c r="N123" s="420"/>
      <c r="O123" s="420"/>
      <c r="P123" s="420"/>
      <c r="Q123" s="420"/>
      <c r="R123" s="420"/>
      <c r="S123" s="420"/>
      <c r="T123" s="420"/>
      <c r="U123" s="420"/>
      <c r="V123" s="420"/>
      <c r="W123" s="420"/>
      <c r="X123" s="420"/>
      <c r="Y123" s="420"/>
      <c r="Z123" s="420"/>
      <c r="AA123" s="420"/>
      <c r="AB123" s="420"/>
      <c r="AC123" s="420"/>
      <c r="AD123" s="420"/>
      <c r="AE123" s="420"/>
      <c r="AF123" s="420"/>
      <c r="AG123" s="420"/>
      <c r="AH123" s="420"/>
      <c r="AI123" s="420"/>
      <c r="AJ123" s="420"/>
      <c r="AK123" s="420"/>
      <c r="AL123" s="420"/>
      <c r="AM123" s="420"/>
      <c r="AN123" s="420"/>
      <c r="AO123" s="420"/>
      <c r="AP123" s="420"/>
      <c r="AQ123" s="420"/>
      <c r="AR123" s="420"/>
      <c r="AS123" s="420"/>
      <c r="AT123" s="420"/>
      <c r="AU123" s="420"/>
      <c r="AV123" s="420"/>
      <c r="AW123" s="420"/>
      <c r="AX123" s="420"/>
      <c r="AY123" s="420"/>
      <c r="AZ123" s="420"/>
      <c r="BA123" s="420"/>
      <c r="BB123" s="420"/>
      <c r="BC123" s="420"/>
      <c r="BD123" s="420"/>
      <c r="BE123" s="420"/>
      <c r="BF123" s="420"/>
      <c r="BG123" s="420"/>
      <c r="BH123" s="420"/>
      <c r="BI123" s="420"/>
      <c r="BJ123" s="420"/>
      <c r="BK123" s="420"/>
      <c r="BL123" s="420"/>
      <c r="BM123" s="420"/>
      <c r="BN123" s="420"/>
      <c r="BO123" s="420"/>
      <c r="BP123" s="420"/>
      <c r="BQ123" s="420"/>
      <c r="BR123" s="420"/>
      <c r="BS123" s="420"/>
      <c r="BT123" s="420"/>
      <c r="BU123" s="420"/>
      <c r="BV123" s="420"/>
      <c r="BW123" s="420"/>
      <c r="BX123" s="420"/>
      <c r="BY123" s="420"/>
      <c r="BZ123" s="420"/>
      <c r="CA123" s="202"/>
      <c r="CB123" s="202"/>
      <c r="CC123" s="202"/>
      <c r="CD123" s="202"/>
      <c r="CE123" s="202"/>
      <c r="CF123" s="202"/>
      <c r="CG123" s="202"/>
      <c r="CH123" s="202"/>
      <c r="CI123" s="202"/>
      <c r="CJ123" s="202"/>
    </row>
    <row r="124" spans="1:88" s="204" customFormat="1" ht="18" customHeight="1" x14ac:dyDescent="0.25">
      <c r="A124" s="926" t="s">
        <v>176</v>
      </c>
      <c r="B124" s="927"/>
      <c r="C124" s="919"/>
      <c r="D124" s="920"/>
      <c r="E124" s="920"/>
      <c r="F124" s="920"/>
      <c r="G124" s="920"/>
      <c r="H124" s="921"/>
      <c r="I124" s="250"/>
      <c r="J124" s="247"/>
      <c r="K124" s="28"/>
      <c r="L124" s="202"/>
      <c r="M124" s="420"/>
      <c r="N124" s="420"/>
      <c r="O124" s="420"/>
      <c r="P124" s="420"/>
      <c r="Q124" s="420"/>
      <c r="R124" s="420"/>
      <c r="S124" s="420"/>
      <c r="T124" s="420"/>
      <c r="U124" s="420"/>
      <c r="V124" s="420"/>
      <c r="W124" s="420"/>
      <c r="X124" s="420"/>
      <c r="Y124" s="420"/>
      <c r="Z124" s="420"/>
      <c r="AA124" s="420"/>
      <c r="AB124" s="420"/>
      <c r="AC124" s="420"/>
      <c r="AD124" s="420"/>
      <c r="AE124" s="420"/>
      <c r="AF124" s="420"/>
      <c r="AG124" s="420"/>
      <c r="AH124" s="420"/>
      <c r="AI124" s="420"/>
      <c r="AJ124" s="420"/>
      <c r="AK124" s="420"/>
      <c r="AL124" s="420"/>
      <c r="AM124" s="420"/>
      <c r="AN124" s="420"/>
      <c r="AO124" s="420"/>
      <c r="AP124" s="420"/>
      <c r="AQ124" s="420"/>
      <c r="AR124" s="420"/>
      <c r="AS124" s="420"/>
      <c r="AT124" s="420"/>
      <c r="AU124" s="420"/>
      <c r="AV124" s="420"/>
      <c r="AW124" s="420"/>
      <c r="AX124" s="420"/>
      <c r="AY124" s="420"/>
      <c r="AZ124" s="420"/>
      <c r="BA124" s="420"/>
      <c r="BB124" s="420"/>
      <c r="BC124" s="420"/>
      <c r="BD124" s="420"/>
      <c r="BE124" s="420"/>
      <c r="BF124" s="420"/>
      <c r="BG124" s="420"/>
      <c r="BH124" s="420"/>
      <c r="BI124" s="420"/>
      <c r="BJ124" s="420"/>
      <c r="BK124" s="420"/>
      <c r="BL124" s="420"/>
      <c r="BM124" s="420"/>
      <c r="BN124" s="420"/>
      <c r="BO124" s="420"/>
      <c r="BP124" s="420"/>
      <c r="BQ124" s="420"/>
      <c r="BR124" s="420"/>
      <c r="BS124" s="420"/>
      <c r="BT124" s="420"/>
      <c r="BU124" s="420"/>
      <c r="BV124" s="420"/>
      <c r="BW124" s="420"/>
      <c r="BX124" s="420"/>
      <c r="BY124" s="420"/>
      <c r="BZ124" s="420"/>
      <c r="CA124" s="202"/>
      <c r="CB124" s="202"/>
      <c r="CC124" s="202"/>
      <c r="CD124" s="202"/>
      <c r="CE124" s="202"/>
      <c r="CF124" s="202"/>
      <c r="CG124" s="202"/>
      <c r="CH124" s="202"/>
      <c r="CI124" s="202"/>
      <c r="CJ124" s="202"/>
    </row>
    <row r="125" spans="1:88" s="204" customFormat="1" ht="18" customHeight="1" thickBot="1" x14ac:dyDescent="0.3">
      <c r="A125" s="922" t="s">
        <v>177</v>
      </c>
      <c r="B125" s="923"/>
      <c r="C125" s="916"/>
      <c r="D125" s="917"/>
      <c r="E125" s="917"/>
      <c r="F125" s="917"/>
      <c r="G125" s="917"/>
      <c r="H125" s="918"/>
      <c r="I125" s="251"/>
      <c r="J125" s="248"/>
      <c r="K125" s="28"/>
      <c r="L125" s="202"/>
      <c r="M125" s="420"/>
      <c r="N125" s="420"/>
      <c r="O125" s="420"/>
      <c r="P125" s="420"/>
      <c r="Q125" s="420"/>
      <c r="R125" s="420"/>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0"/>
      <c r="BC125" s="420"/>
      <c r="BD125" s="420"/>
      <c r="BE125" s="420"/>
      <c r="BF125" s="420"/>
      <c r="BG125" s="420"/>
      <c r="BH125" s="420"/>
      <c r="BI125" s="420"/>
      <c r="BJ125" s="420"/>
      <c r="BK125" s="420"/>
      <c r="BL125" s="420"/>
      <c r="BM125" s="420"/>
      <c r="BN125" s="420"/>
      <c r="BO125" s="420"/>
      <c r="BP125" s="420"/>
      <c r="BQ125" s="420"/>
      <c r="BR125" s="420"/>
      <c r="BS125" s="420"/>
      <c r="BT125" s="420"/>
      <c r="BU125" s="420"/>
      <c r="BV125" s="420"/>
      <c r="BW125" s="420"/>
      <c r="BX125" s="420"/>
      <c r="BY125" s="420"/>
      <c r="BZ125" s="420"/>
      <c r="CA125" s="202"/>
      <c r="CB125" s="202"/>
      <c r="CC125" s="202"/>
      <c r="CD125" s="202"/>
      <c r="CE125" s="202"/>
      <c r="CF125" s="202"/>
      <c r="CG125" s="202"/>
      <c r="CH125" s="202"/>
      <c r="CI125" s="202"/>
      <c r="CJ125" s="202"/>
    </row>
    <row r="126" spans="1:88" s="198" customFormat="1" ht="20.25" customHeight="1" thickBot="1" x14ac:dyDescent="0.3">
      <c r="A126" s="234" t="s">
        <v>317</v>
      </c>
      <c r="B126" s="235"/>
      <c r="C126" s="235"/>
      <c r="D126" s="397" t="str">
        <f>IF(X132&gt;1,"Verpacht mit Vorzeichen minus"," ")</f>
        <v xml:space="preserve"> </v>
      </c>
      <c r="E126" s="236"/>
      <c r="F126" s="236"/>
      <c r="G126" s="236"/>
      <c r="H126" s="236"/>
      <c r="I126" s="262"/>
      <c r="J126" s="262"/>
      <c r="K126" s="36"/>
      <c r="L126" s="209"/>
      <c r="M126" s="510"/>
      <c r="N126" s="510"/>
      <c r="O126" s="510"/>
      <c r="P126" s="510"/>
      <c r="Q126" s="510"/>
      <c r="R126" s="510"/>
      <c r="S126" s="510"/>
      <c r="T126" s="510"/>
      <c r="U126" s="510"/>
      <c r="V126" s="510"/>
      <c r="W126" s="510"/>
      <c r="X126" s="510"/>
      <c r="Y126" s="510"/>
      <c r="Z126" s="510"/>
      <c r="AA126" s="510"/>
      <c r="AB126" s="510"/>
      <c r="AC126" s="510"/>
      <c r="AD126" s="510"/>
      <c r="AE126" s="510"/>
      <c r="AF126" s="510"/>
      <c r="AG126" s="510"/>
      <c r="AH126" s="510"/>
      <c r="AI126" s="510"/>
      <c r="AJ126" s="510"/>
      <c r="AK126" s="510"/>
      <c r="AL126" s="510"/>
      <c r="AM126" s="510"/>
      <c r="AN126" s="510"/>
      <c r="AO126" s="510"/>
      <c r="AP126" s="510"/>
      <c r="AQ126" s="510"/>
      <c r="AR126" s="510"/>
      <c r="AS126" s="510"/>
      <c r="AT126" s="510"/>
      <c r="AU126" s="510"/>
      <c r="AV126" s="510"/>
      <c r="AW126" s="510"/>
      <c r="AX126" s="510"/>
      <c r="AY126" s="510"/>
      <c r="AZ126" s="510"/>
      <c r="BA126" s="510"/>
      <c r="BB126" s="510"/>
      <c r="BC126" s="510"/>
      <c r="BD126" s="510"/>
      <c r="BE126" s="510"/>
      <c r="BF126" s="510"/>
      <c r="BG126" s="510"/>
      <c r="BH126" s="510"/>
      <c r="BI126" s="510"/>
      <c r="BJ126" s="510"/>
      <c r="BK126" s="510"/>
      <c r="BL126" s="510"/>
      <c r="BM126" s="510"/>
      <c r="BN126" s="510"/>
      <c r="BO126" s="510"/>
      <c r="BP126" s="510"/>
      <c r="BQ126" s="510"/>
      <c r="BR126" s="510"/>
      <c r="BS126" s="510"/>
      <c r="BT126" s="510"/>
      <c r="BU126" s="510"/>
      <c r="BV126" s="510"/>
      <c r="BW126" s="510"/>
      <c r="BX126" s="510"/>
      <c r="BY126" s="510"/>
      <c r="BZ126" s="510"/>
      <c r="CA126" s="209"/>
      <c r="CB126" s="209"/>
      <c r="CC126" s="209"/>
      <c r="CD126" s="209"/>
      <c r="CE126" s="209"/>
      <c r="CF126" s="209"/>
      <c r="CG126" s="209"/>
      <c r="CH126" s="209"/>
      <c r="CI126" s="209"/>
      <c r="CJ126" s="209"/>
    </row>
    <row r="127" spans="1:88" s="204" customFormat="1" ht="19.5" customHeight="1" thickBot="1" x14ac:dyDescent="0.3">
      <c r="A127" s="234" t="s">
        <v>318</v>
      </c>
      <c r="B127" s="932" t="s">
        <v>328</v>
      </c>
      <c r="C127" s="933"/>
      <c r="D127" s="933"/>
      <c r="E127" s="933"/>
      <c r="F127" s="933"/>
      <c r="G127" s="933"/>
      <c r="H127" s="934"/>
      <c r="I127" s="261"/>
      <c r="J127" s="261"/>
      <c r="K127" s="29"/>
      <c r="L127" s="203"/>
      <c r="M127" s="478"/>
      <c r="N127" s="478"/>
      <c r="O127" s="478"/>
      <c r="P127" s="478"/>
      <c r="Q127" s="478"/>
      <c r="R127" s="478"/>
      <c r="S127" s="478"/>
      <c r="T127" s="478"/>
      <c r="U127" s="478"/>
      <c r="V127" s="478"/>
      <c r="W127" s="478"/>
      <c r="X127" s="478"/>
      <c r="Y127" s="478"/>
      <c r="Z127" s="478"/>
      <c r="AA127" s="478"/>
      <c r="AB127" s="478"/>
      <c r="AC127" s="478"/>
      <c r="AD127" s="478"/>
      <c r="AE127" s="478"/>
      <c r="AF127" s="478"/>
      <c r="AG127" s="478"/>
      <c r="AH127" s="478"/>
      <c r="AI127" s="478"/>
      <c r="AJ127" s="478"/>
      <c r="AK127" s="478"/>
      <c r="AL127" s="478"/>
      <c r="AM127" s="478"/>
      <c r="AN127" s="478"/>
      <c r="AO127" s="478"/>
      <c r="AP127" s="478"/>
      <c r="AQ127" s="478"/>
      <c r="AR127" s="478"/>
      <c r="AS127" s="478"/>
      <c r="AT127" s="478"/>
      <c r="AU127" s="478"/>
      <c r="AV127" s="420"/>
      <c r="AW127" s="420"/>
      <c r="AX127" s="420"/>
      <c r="AY127" s="420"/>
      <c r="AZ127" s="420"/>
      <c r="BA127" s="420"/>
      <c r="BB127" s="420"/>
      <c r="BC127" s="420"/>
      <c r="BD127" s="420"/>
      <c r="BE127" s="420"/>
      <c r="BF127" s="420"/>
      <c r="BG127" s="420"/>
      <c r="BH127" s="420"/>
      <c r="BI127" s="420"/>
      <c r="BJ127" s="420"/>
      <c r="BK127" s="420"/>
      <c r="BL127" s="420"/>
      <c r="BM127" s="420"/>
      <c r="BN127" s="420"/>
      <c r="BO127" s="420"/>
      <c r="BP127" s="420"/>
      <c r="BQ127" s="420"/>
      <c r="BR127" s="420"/>
      <c r="BS127" s="420"/>
      <c r="BT127" s="420"/>
      <c r="BU127" s="420"/>
      <c r="BV127" s="420"/>
      <c r="BW127" s="420"/>
      <c r="BX127" s="420"/>
      <c r="BY127" s="420"/>
      <c r="BZ127" s="420"/>
      <c r="CA127" s="202"/>
      <c r="CB127" s="202"/>
      <c r="CC127" s="202"/>
      <c r="CD127" s="202"/>
      <c r="CE127" s="202"/>
      <c r="CF127" s="202"/>
      <c r="CG127" s="202"/>
      <c r="CH127" s="202"/>
      <c r="CI127" s="202"/>
      <c r="CJ127" s="202"/>
    </row>
    <row r="128" spans="1:88" s="204" customFormat="1" ht="18" customHeight="1" x14ac:dyDescent="0.25">
      <c r="A128" s="856" t="s">
        <v>319</v>
      </c>
      <c r="B128" s="899"/>
      <c r="C128" s="900"/>
      <c r="D128" s="900"/>
      <c r="E128" s="900"/>
      <c r="F128" s="900"/>
      <c r="G128" s="900"/>
      <c r="H128" s="901"/>
      <c r="I128" s="873"/>
      <c r="J128" s="873"/>
      <c r="K128" s="29"/>
      <c r="L128" s="203"/>
      <c r="M128" s="478"/>
      <c r="N128" s="478"/>
      <c r="O128" s="478"/>
      <c r="P128" s="478"/>
      <c r="Q128" s="478"/>
      <c r="R128" s="420" t="s">
        <v>23</v>
      </c>
      <c r="S128" s="478"/>
      <c r="T128" s="478"/>
      <c r="U128" s="203">
        <v>3</v>
      </c>
      <c r="V128" s="478"/>
      <c r="W128" s="478"/>
      <c r="X128" s="478">
        <f>IF(U128=3,IF(I128&gt;0,99,IF(J128&gt;0,99,0)),0)</f>
        <v>0</v>
      </c>
      <c r="Y128" s="478">
        <f>IF(U128=1,IF(I128&gt;0,99,IF(J128&gt;0,99,0)),0)</f>
        <v>0</v>
      </c>
      <c r="Z128" s="478">
        <f>IF(U128=1,IF(I128&lt;0,99,IF(J128&lt;0,99,0)),0)</f>
        <v>0</v>
      </c>
      <c r="AA128" s="478"/>
      <c r="AB128" s="478"/>
      <c r="AC128" s="478"/>
      <c r="AD128" s="478"/>
      <c r="AE128" s="478"/>
      <c r="AF128" s="478"/>
      <c r="AG128" s="478"/>
      <c r="AH128" s="478"/>
      <c r="AI128" s="478"/>
      <c r="AJ128" s="478"/>
      <c r="AK128" s="478"/>
      <c r="AL128" s="478"/>
      <c r="AM128" s="478"/>
      <c r="AN128" s="478"/>
      <c r="AO128" s="478"/>
      <c r="AP128" s="478"/>
      <c r="AQ128" s="478"/>
      <c r="AR128" s="478"/>
      <c r="AS128" s="478"/>
      <c r="AT128" s="478"/>
      <c r="AU128" s="478"/>
      <c r="AV128" s="420"/>
      <c r="AW128" s="420"/>
      <c r="AX128" s="420"/>
      <c r="AY128" s="420"/>
      <c r="AZ128" s="420"/>
      <c r="BA128" s="420"/>
      <c r="BB128" s="420"/>
      <c r="BC128" s="420"/>
      <c r="BD128" s="420"/>
      <c r="BE128" s="420"/>
      <c r="BF128" s="420"/>
      <c r="BG128" s="420"/>
      <c r="BH128" s="420"/>
      <c r="BI128" s="420"/>
      <c r="BJ128" s="420"/>
      <c r="BK128" s="420"/>
      <c r="BL128" s="420"/>
      <c r="BM128" s="420"/>
      <c r="BN128" s="420"/>
      <c r="BO128" s="420"/>
      <c r="BP128" s="420"/>
      <c r="BQ128" s="420"/>
      <c r="BR128" s="420"/>
      <c r="BS128" s="420"/>
      <c r="BT128" s="420"/>
      <c r="BU128" s="420"/>
      <c r="BV128" s="420"/>
      <c r="BW128" s="420"/>
      <c r="BX128" s="420"/>
      <c r="BY128" s="420"/>
      <c r="BZ128" s="420"/>
      <c r="CA128" s="202"/>
      <c r="CB128" s="202"/>
      <c r="CC128" s="202"/>
      <c r="CD128" s="202"/>
      <c r="CE128" s="202"/>
      <c r="CF128" s="202"/>
      <c r="CG128" s="202"/>
      <c r="CH128" s="202"/>
      <c r="CI128" s="202"/>
      <c r="CJ128" s="202"/>
    </row>
    <row r="129" spans="1:115" s="204" customFormat="1" ht="18" customHeight="1" x14ac:dyDescent="0.25">
      <c r="A129" s="857" t="s">
        <v>319</v>
      </c>
      <c r="B129" s="902"/>
      <c r="C129" s="903"/>
      <c r="D129" s="903"/>
      <c r="E129" s="903"/>
      <c r="F129" s="903"/>
      <c r="G129" s="903"/>
      <c r="H129" s="904"/>
      <c r="I129" s="253"/>
      <c r="J129" s="253"/>
      <c r="K129" s="29"/>
      <c r="L129" s="203"/>
      <c r="M129" s="478"/>
      <c r="N129" s="478"/>
      <c r="O129" s="478"/>
      <c r="P129" s="478"/>
      <c r="Q129" s="478"/>
      <c r="R129" s="420" t="s">
        <v>201</v>
      </c>
      <c r="S129" s="478"/>
      <c r="T129" s="478"/>
      <c r="U129" s="203">
        <v>3</v>
      </c>
      <c r="V129" s="478"/>
      <c r="W129" s="478"/>
      <c r="X129" s="478">
        <f>IF(U129=3,IF(I129&gt;0,99,IF(J129&gt;0,99,0)),0)</f>
        <v>0</v>
      </c>
      <c r="Y129" s="478">
        <f>IF(U129=1,IF(I129&gt;0,99,IF(J129&gt;0,99,0)),0)</f>
        <v>0</v>
      </c>
      <c r="Z129" s="478">
        <f>IF(U129=1,IF(I129&lt;0,99,IF(J129&lt;0,99,0)),0)</f>
        <v>0</v>
      </c>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20"/>
      <c r="AW129" s="420"/>
      <c r="AX129" s="420"/>
      <c r="AY129" s="420"/>
      <c r="AZ129" s="420"/>
      <c r="BA129" s="420"/>
      <c r="BB129" s="420"/>
      <c r="BC129" s="420"/>
      <c r="BD129" s="420"/>
      <c r="BE129" s="420"/>
      <c r="BF129" s="420"/>
      <c r="BG129" s="420"/>
      <c r="BH129" s="420"/>
      <c r="BI129" s="420"/>
      <c r="BJ129" s="420"/>
      <c r="BK129" s="420"/>
      <c r="BL129" s="420"/>
      <c r="BM129" s="420"/>
      <c r="BN129" s="420"/>
      <c r="BO129" s="420"/>
      <c r="BP129" s="420"/>
      <c r="BQ129" s="420"/>
      <c r="BR129" s="420"/>
      <c r="BS129" s="420"/>
      <c r="BT129" s="420"/>
      <c r="BU129" s="420"/>
      <c r="BV129" s="420"/>
      <c r="BW129" s="420"/>
      <c r="BX129" s="420"/>
      <c r="BY129" s="420"/>
      <c r="BZ129" s="420"/>
      <c r="CA129" s="202"/>
      <c r="CB129" s="202"/>
      <c r="CC129" s="202"/>
      <c r="CD129" s="202"/>
      <c r="CE129" s="202"/>
      <c r="CF129" s="202"/>
      <c r="CG129" s="202"/>
      <c r="CH129" s="202"/>
      <c r="CI129" s="202"/>
      <c r="CJ129" s="202"/>
      <c r="DK129" s="872"/>
    </row>
    <row r="130" spans="1:115" s="204" customFormat="1" ht="18" customHeight="1" x14ac:dyDescent="0.25">
      <c r="A130" s="857" t="s">
        <v>319</v>
      </c>
      <c r="B130" s="902"/>
      <c r="C130" s="903"/>
      <c r="D130" s="903"/>
      <c r="E130" s="903"/>
      <c r="F130" s="903"/>
      <c r="G130" s="903"/>
      <c r="H130" s="904"/>
      <c r="I130" s="875"/>
      <c r="J130" s="253"/>
      <c r="K130" s="29"/>
      <c r="L130" s="203"/>
      <c r="M130" s="478"/>
      <c r="N130" s="478"/>
      <c r="O130" s="478"/>
      <c r="P130" s="478"/>
      <c r="Q130" s="478"/>
      <c r="R130" s="420" t="s">
        <v>202</v>
      </c>
      <c r="S130" s="478"/>
      <c r="T130" s="478"/>
      <c r="U130" s="203">
        <v>3</v>
      </c>
      <c r="V130" s="478"/>
      <c r="W130" s="478"/>
      <c r="X130" s="478">
        <f>IF(U130=3,IF(I130&gt;0,99,IF(J130&gt;0,99,0)),0)</f>
        <v>0</v>
      </c>
      <c r="Y130" s="478">
        <f>IF(U130=1,IF(I130&gt;0,99,IF(J130&gt;0,99,0)),0)</f>
        <v>0</v>
      </c>
      <c r="Z130" s="478">
        <f>IF(U130=1,IF(I130&lt;0,99,IF(J130&lt;0,99,0)),0)</f>
        <v>0</v>
      </c>
      <c r="AA130" s="478"/>
      <c r="AB130" s="478"/>
      <c r="AC130" s="478"/>
      <c r="AD130" s="478"/>
      <c r="AE130" s="478"/>
      <c r="AF130" s="478"/>
      <c r="AG130" s="478"/>
      <c r="AH130" s="478"/>
      <c r="AI130" s="478"/>
      <c r="AJ130" s="478"/>
      <c r="AK130" s="478"/>
      <c r="AL130" s="478"/>
      <c r="AM130" s="478"/>
      <c r="AN130" s="478"/>
      <c r="AO130" s="478"/>
      <c r="AP130" s="478"/>
      <c r="AQ130" s="478"/>
      <c r="AR130" s="478"/>
      <c r="AS130" s="478"/>
      <c r="AT130" s="478"/>
      <c r="AU130" s="478"/>
      <c r="AV130" s="420"/>
      <c r="AW130" s="420"/>
      <c r="AX130" s="420"/>
      <c r="AY130" s="420"/>
      <c r="AZ130" s="420"/>
      <c r="BA130" s="420"/>
      <c r="BB130" s="420"/>
      <c r="BC130" s="420"/>
      <c r="BD130" s="420"/>
      <c r="BE130" s="420"/>
      <c r="BF130" s="420"/>
      <c r="BG130" s="420"/>
      <c r="BH130" s="420"/>
      <c r="BI130" s="420"/>
      <c r="BJ130" s="420"/>
      <c r="BK130" s="420"/>
      <c r="BL130" s="420"/>
      <c r="BM130" s="420"/>
      <c r="BN130" s="420"/>
      <c r="BO130" s="420"/>
      <c r="BP130" s="420"/>
      <c r="BQ130" s="420"/>
      <c r="BR130" s="420"/>
      <c r="BS130" s="420"/>
      <c r="BT130" s="420"/>
      <c r="BU130" s="420"/>
      <c r="BV130" s="420"/>
      <c r="BW130" s="420"/>
      <c r="BX130" s="420"/>
      <c r="BY130" s="420"/>
      <c r="BZ130" s="420"/>
      <c r="CA130" s="202"/>
      <c r="CB130" s="202"/>
      <c r="CC130" s="202"/>
      <c r="CD130" s="202"/>
      <c r="CE130" s="202"/>
      <c r="CF130" s="202"/>
      <c r="CG130" s="202"/>
      <c r="CH130" s="202"/>
      <c r="CI130" s="202"/>
      <c r="CJ130" s="202"/>
    </row>
    <row r="131" spans="1:115" s="204" customFormat="1" ht="18" customHeight="1" thickBot="1" x14ac:dyDescent="0.3">
      <c r="A131" s="857" t="s">
        <v>319</v>
      </c>
      <c r="B131" s="905"/>
      <c r="C131" s="906"/>
      <c r="D131" s="906"/>
      <c r="E131" s="906"/>
      <c r="F131" s="906"/>
      <c r="G131" s="906"/>
      <c r="H131" s="907"/>
      <c r="I131" s="874"/>
      <c r="J131" s="871"/>
      <c r="K131" s="29"/>
      <c r="L131" s="203"/>
      <c r="M131" s="478"/>
      <c r="N131" s="478"/>
      <c r="O131" s="478"/>
      <c r="P131" s="478"/>
      <c r="Q131" s="478"/>
      <c r="R131" s="478"/>
      <c r="S131" s="478"/>
      <c r="T131" s="478"/>
      <c r="U131" s="203">
        <v>3</v>
      </c>
      <c r="V131" s="478"/>
      <c r="W131" s="478"/>
      <c r="X131" s="478">
        <f>IF(U131=3,IF(I131&gt;0,99,IF(J131&gt;0,99,0)),0)</f>
        <v>0</v>
      </c>
      <c r="Y131" s="478">
        <f>IF(U131=1,IF(I131&gt;0,99,IF(J131&gt;0,99,0)),0)</f>
        <v>0</v>
      </c>
      <c r="Z131" s="478">
        <f>IF(U131=1,IF(I131&lt;0,99,IF(J131&lt;0,99,0)),0)</f>
        <v>0</v>
      </c>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20"/>
      <c r="AW131" s="420"/>
      <c r="AX131" s="420"/>
      <c r="AY131" s="420"/>
      <c r="AZ131" s="420"/>
      <c r="BA131" s="420"/>
      <c r="BB131" s="420"/>
      <c r="BC131" s="420"/>
      <c r="BD131" s="420"/>
      <c r="BE131" s="420"/>
      <c r="BF131" s="420"/>
      <c r="BG131" s="420"/>
      <c r="BH131" s="420"/>
      <c r="BI131" s="420"/>
      <c r="BJ131" s="420"/>
      <c r="BK131" s="420"/>
      <c r="BL131" s="420"/>
      <c r="BM131" s="420"/>
      <c r="BN131" s="420"/>
      <c r="BO131" s="420"/>
      <c r="BP131" s="420"/>
      <c r="BQ131" s="420"/>
      <c r="BR131" s="420"/>
      <c r="BS131" s="420"/>
      <c r="BT131" s="420"/>
      <c r="BU131" s="420"/>
      <c r="BV131" s="420"/>
      <c r="BW131" s="420"/>
      <c r="BX131" s="420"/>
      <c r="BY131" s="420"/>
      <c r="BZ131" s="420"/>
      <c r="CA131" s="202"/>
      <c r="CB131" s="202"/>
      <c r="CC131" s="202"/>
      <c r="CD131" s="202"/>
      <c r="CE131" s="202"/>
      <c r="CF131" s="202"/>
      <c r="CG131" s="202"/>
      <c r="CH131" s="202"/>
      <c r="CI131" s="202"/>
      <c r="CJ131" s="202"/>
    </row>
    <row r="132" spans="1:115" s="206" customFormat="1" ht="27.75" customHeight="1" thickBot="1" x14ac:dyDescent="0.3">
      <c r="A132" s="238" t="s">
        <v>320</v>
      </c>
      <c r="B132" s="239"/>
      <c r="C132" s="239"/>
      <c r="D132" s="240"/>
      <c r="E132" s="240"/>
      <c r="F132" s="240"/>
      <c r="G132" s="240"/>
      <c r="H132" s="240"/>
      <c r="I132" s="392" t="str">
        <f>IF(M132=0," ",IF(AA132&gt;1,"Fehler",M132))</f>
        <v xml:space="preserve"> </v>
      </c>
      <c r="J132" s="392" t="str">
        <f>IF(N132=0," ",IF(AA132&gt;0,"Fehler",N132))</f>
        <v xml:space="preserve"> </v>
      </c>
      <c r="K132" s="155"/>
      <c r="L132" s="485"/>
      <c r="M132" s="487">
        <f>+M133+M134</f>
        <v>0</v>
      </c>
      <c r="N132" s="487">
        <f>+N133+N134</f>
        <v>0</v>
      </c>
      <c r="O132" s="486"/>
      <c r="P132" s="486"/>
      <c r="Q132" s="486"/>
      <c r="R132" s="486"/>
      <c r="S132" s="486"/>
      <c r="T132" s="486"/>
      <c r="U132" s="486"/>
      <c r="V132" s="486"/>
      <c r="W132" s="486"/>
      <c r="X132" s="486">
        <f>SUM(X128:X131)</f>
        <v>0</v>
      </c>
      <c r="Y132" s="486">
        <f>SUM(Y128:Y131)</f>
        <v>0</v>
      </c>
      <c r="Z132" s="486">
        <f>SUM(Z128:Z131)</f>
        <v>0</v>
      </c>
      <c r="AA132" s="486">
        <f>+X132+Y132+Z132</f>
        <v>0</v>
      </c>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8"/>
      <c r="AW132" s="488"/>
      <c r="AX132" s="488"/>
      <c r="AY132" s="488"/>
      <c r="AZ132" s="488"/>
      <c r="BA132" s="488"/>
      <c r="BB132" s="488"/>
      <c r="BC132" s="488"/>
      <c r="BD132" s="488"/>
      <c r="BE132" s="488"/>
      <c r="BF132" s="488"/>
      <c r="BG132" s="488"/>
      <c r="BH132" s="488"/>
      <c r="BI132" s="488"/>
      <c r="BJ132" s="488"/>
      <c r="BK132" s="488"/>
      <c r="BL132" s="488"/>
      <c r="BM132" s="488"/>
      <c r="BN132" s="488"/>
      <c r="BO132" s="488"/>
      <c r="BP132" s="488"/>
      <c r="BQ132" s="488"/>
      <c r="BR132" s="488"/>
      <c r="BS132" s="488"/>
      <c r="BT132" s="488"/>
      <c r="BU132" s="488"/>
      <c r="BV132" s="488"/>
      <c r="BW132" s="488"/>
      <c r="BX132" s="488"/>
      <c r="BY132" s="488"/>
      <c r="BZ132" s="488"/>
      <c r="CA132" s="205"/>
      <c r="CB132" s="205"/>
      <c r="CC132" s="205"/>
      <c r="CD132" s="205"/>
      <c r="CE132" s="205"/>
      <c r="CF132" s="205"/>
      <c r="CG132" s="205"/>
      <c r="CH132" s="205"/>
      <c r="CI132" s="205"/>
      <c r="CJ132" s="205"/>
    </row>
    <row r="133" spans="1:115" s="208" customFormat="1" ht="10.5" customHeight="1" thickBot="1" x14ac:dyDescent="0.3">
      <c r="A133" s="359" t="s">
        <v>325</v>
      </c>
      <c r="B133" s="360"/>
      <c r="C133" s="360"/>
      <c r="D133" s="361"/>
      <c r="E133" s="361"/>
      <c r="F133" s="361"/>
      <c r="G133" s="361"/>
      <c r="H133" s="361"/>
      <c r="I133" s="382" t="str">
        <f>IF(M133=0," ",M133)</f>
        <v xml:space="preserve"> </v>
      </c>
      <c r="J133" s="383" t="str">
        <f>IF(N133=0," ",N133)</f>
        <v xml:space="preserve"> </v>
      </c>
      <c r="K133" s="136"/>
      <c r="L133" s="492"/>
      <c r="M133" s="511">
        <f>SUM(I111:I125)</f>
        <v>0</v>
      </c>
      <c r="N133" s="512">
        <f>SUM(J111:J125)</f>
        <v>0</v>
      </c>
      <c r="O133" s="493"/>
      <c r="P133" s="493"/>
      <c r="Q133" s="493"/>
      <c r="R133" s="493"/>
      <c r="S133" s="493"/>
      <c r="T133" s="493"/>
      <c r="U133" s="493"/>
      <c r="V133" s="493"/>
      <c r="W133" s="493"/>
      <c r="X133" s="493"/>
      <c r="Y133" s="493"/>
      <c r="Z133" s="493"/>
      <c r="AA133" s="493"/>
      <c r="AB133" s="493"/>
      <c r="AC133" s="493"/>
      <c r="AD133" s="493"/>
      <c r="AE133" s="493"/>
      <c r="AF133" s="493"/>
      <c r="AG133" s="493"/>
      <c r="AH133" s="493"/>
      <c r="AI133" s="493"/>
      <c r="AJ133" s="493"/>
      <c r="AK133" s="493"/>
      <c r="AL133" s="493"/>
      <c r="AM133" s="493"/>
      <c r="AN133" s="493"/>
      <c r="AO133" s="493"/>
      <c r="AP133" s="493"/>
      <c r="AQ133" s="493"/>
      <c r="AR133" s="493"/>
      <c r="AS133" s="493"/>
      <c r="AT133" s="493"/>
      <c r="AU133" s="493"/>
      <c r="AV133" s="495"/>
      <c r="AW133" s="495"/>
      <c r="AX133" s="495"/>
      <c r="AY133" s="495"/>
      <c r="AZ133" s="495"/>
      <c r="BA133" s="495"/>
      <c r="BB133" s="495"/>
      <c r="BC133" s="495"/>
      <c r="BD133" s="495"/>
      <c r="BE133" s="495"/>
      <c r="BF133" s="495"/>
      <c r="BG133" s="495"/>
      <c r="BH133" s="495"/>
      <c r="BI133" s="495"/>
      <c r="BJ133" s="495"/>
      <c r="BK133" s="495"/>
      <c r="BL133" s="495"/>
      <c r="BM133" s="495"/>
      <c r="BN133" s="495"/>
      <c r="BO133" s="495"/>
      <c r="BP133" s="495"/>
      <c r="BQ133" s="495"/>
      <c r="BR133" s="495"/>
      <c r="BS133" s="495"/>
      <c r="BT133" s="495"/>
      <c r="BU133" s="495"/>
      <c r="BV133" s="495"/>
      <c r="BW133" s="495"/>
      <c r="BX133" s="495"/>
      <c r="BY133" s="495"/>
      <c r="BZ133" s="495"/>
      <c r="CA133" s="207"/>
      <c r="CB133" s="207"/>
      <c r="CC133" s="207"/>
      <c r="CD133" s="207"/>
      <c r="CE133" s="207"/>
      <c r="CF133" s="207"/>
      <c r="CG133" s="207"/>
      <c r="CH133" s="207"/>
      <c r="CI133" s="207"/>
      <c r="CJ133" s="207"/>
    </row>
    <row r="134" spans="1:115" s="208" customFormat="1" ht="10.5" customHeight="1" thickBot="1" x14ac:dyDescent="0.3">
      <c r="A134" s="362" t="s">
        <v>326</v>
      </c>
      <c r="B134" s="360"/>
      <c r="C134" s="360"/>
      <c r="D134" s="361"/>
      <c r="E134" s="361"/>
      <c r="F134" s="361"/>
      <c r="G134" s="361"/>
      <c r="H134" s="361"/>
      <c r="I134" s="382" t="str">
        <f>IF(M134=0," ",M134)</f>
        <v xml:space="preserve"> </v>
      </c>
      <c r="J134" s="383" t="str">
        <f>IF(N134=0," ",N134)</f>
        <v xml:space="preserve"> </v>
      </c>
      <c r="K134" s="136"/>
      <c r="L134" s="492"/>
      <c r="M134" s="513">
        <f>SUM(I128:I131)</f>
        <v>0</v>
      </c>
      <c r="N134" s="513">
        <f>SUM(J128:J131)</f>
        <v>0</v>
      </c>
      <c r="O134" s="493"/>
      <c r="P134" s="493"/>
      <c r="Q134" s="493"/>
      <c r="R134" s="514" t="s">
        <v>189</v>
      </c>
      <c r="S134" s="493"/>
      <c r="T134" s="493"/>
      <c r="U134" s="493"/>
      <c r="V134" s="493"/>
      <c r="W134" s="493"/>
      <c r="X134" s="493"/>
      <c r="Y134" s="493"/>
      <c r="Z134" s="515" t="s">
        <v>187</v>
      </c>
      <c r="AA134" s="515"/>
      <c r="AB134" s="515"/>
      <c r="AC134" s="515"/>
      <c r="AD134" s="515"/>
      <c r="AE134" s="515"/>
      <c r="AF134" s="515"/>
      <c r="AG134" s="515"/>
      <c r="AH134" s="493"/>
      <c r="AI134" s="493"/>
      <c r="AJ134" s="493"/>
      <c r="AK134" s="493"/>
      <c r="AL134" s="493"/>
      <c r="AM134" s="493"/>
      <c r="AN134" s="493"/>
      <c r="AO134" s="493"/>
      <c r="AP134" s="514" t="s">
        <v>190</v>
      </c>
      <c r="AQ134" s="493"/>
      <c r="AR134" s="493"/>
      <c r="AS134" s="493"/>
      <c r="AT134" s="493"/>
      <c r="AU134" s="493"/>
      <c r="AV134" s="495"/>
      <c r="AW134" s="495"/>
      <c r="AX134" s="495"/>
      <c r="AY134" s="495"/>
      <c r="AZ134" s="495"/>
      <c r="BA134" s="495"/>
      <c r="BB134" s="495"/>
      <c r="BC134" s="495"/>
      <c r="BD134" s="495"/>
      <c r="BE134" s="495"/>
      <c r="BF134" s="495"/>
      <c r="BG134" s="495"/>
      <c r="BH134" s="495"/>
      <c r="BI134" s="495"/>
      <c r="BJ134" s="495"/>
      <c r="BK134" s="495"/>
      <c r="BL134" s="495"/>
      <c r="BM134" s="495"/>
      <c r="BN134" s="495"/>
      <c r="BO134" s="495"/>
      <c r="BP134" s="495"/>
      <c r="BQ134" s="495"/>
      <c r="BR134" s="495"/>
      <c r="BS134" s="495"/>
      <c r="BT134" s="495"/>
      <c r="BU134" s="495"/>
      <c r="BV134" s="495"/>
      <c r="BW134" s="495"/>
      <c r="BX134" s="495"/>
      <c r="BY134" s="495"/>
      <c r="BZ134" s="495"/>
      <c r="CA134" s="207"/>
      <c r="CB134" s="207"/>
      <c r="CC134" s="207"/>
      <c r="CD134" s="207"/>
      <c r="CE134" s="207"/>
      <c r="CF134" s="207"/>
      <c r="CG134" s="207"/>
      <c r="CH134" s="207"/>
      <c r="CI134" s="207"/>
      <c r="CJ134" s="207"/>
    </row>
    <row r="135" spans="1:115" s="204" customFormat="1" ht="7.5" customHeight="1" thickBot="1" x14ac:dyDescent="0.3">
      <c r="A135" s="30"/>
      <c r="B135" s="30"/>
      <c r="C135" s="30"/>
      <c r="D135" s="30"/>
      <c r="E135" s="30"/>
      <c r="F135" s="30"/>
      <c r="G135" s="30"/>
      <c r="H135" s="30"/>
      <c r="I135" s="30"/>
      <c r="J135" s="30"/>
      <c r="K135" s="30"/>
      <c r="M135" s="516"/>
      <c r="N135" s="516"/>
      <c r="O135" s="478"/>
      <c r="P135" s="478"/>
      <c r="Q135" s="478"/>
      <c r="R135" s="478"/>
      <c r="S135" s="478"/>
      <c r="T135" s="478"/>
      <c r="U135" s="478"/>
      <c r="V135" s="478"/>
      <c r="W135" s="478"/>
      <c r="X135" s="478"/>
      <c r="Y135" s="478"/>
      <c r="Z135" s="478"/>
      <c r="AA135" s="478"/>
      <c r="AB135" s="478"/>
      <c r="AC135" s="478"/>
      <c r="AD135" s="478"/>
      <c r="AE135" s="478"/>
      <c r="AF135" s="478"/>
      <c r="AG135" s="478"/>
      <c r="AH135" s="478"/>
      <c r="AI135" s="478"/>
      <c r="AJ135" s="478"/>
      <c r="AK135" s="478"/>
      <c r="AL135" s="478"/>
      <c r="AM135" s="478"/>
      <c r="AN135" s="478"/>
      <c r="AO135" s="478"/>
      <c r="AP135" s="478"/>
      <c r="AQ135" s="478"/>
      <c r="AR135" s="478"/>
      <c r="AS135" s="478"/>
      <c r="AT135" s="478"/>
      <c r="AU135" s="478"/>
      <c r="AV135" s="420"/>
      <c r="AW135" s="420"/>
      <c r="AX135" s="420"/>
      <c r="AY135" s="420"/>
      <c r="AZ135" s="420"/>
      <c r="BA135" s="420"/>
      <c r="BB135" s="420"/>
      <c r="BC135" s="420"/>
      <c r="BD135" s="420"/>
      <c r="BE135" s="420"/>
      <c r="BF135" s="420"/>
      <c r="BG135" s="420"/>
      <c r="BH135" s="420"/>
      <c r="BI135" s="420"/>
      <c r="BJ135" s="420"/>
      <c r="BK135" s="420"/>
      <c r="BL135" s="420"/>
      <c r="BM135" s="420"/>
      <c r="BN135" s="420"/>
      <c r="BO135" s="420"/>
      <c r="BP135" s="420"/>
      <c r="BQ135" s="420"/>
      <c r="BR135" s="420"/>
      <c r="BS135" s="420"/>
      <c r="BT135" s="420"/>
      <c r="BU135" s="420"/>
      <c r="BV135" s="420"/>
      <c r="BW135" s="420"/>
      <c r="BX135" s="420"/>
      <c r="BY135" s="420"/>
      <c r="BZ135" s="420"/>
      <c r="CA135" s="202"/>
      <c r="CB135" s="202"/>
      <c r="CC135" s="202"/>
      <c r="CD135" s="202"/>
      <c r="CE135" s="202"/>
      <c r="CF135" s="202"/>
      <c r="CG135" s="202"/>
      <c r="CH135" s="202"/>
      <c r="CI135" s="202"/>
      <c r="CJ135" s="202"/>
    </row>
    <row r="136" spans="1:115" s="204" customFormat="1" ht="7.5" hidden="1" customHeight="1" thickBot="1" x14ac:dyDescent="0.3">
      <c r="A136" s="32"/>
      <c r="B136" s="5"/>
      <c r="C136" s="5"/>
      <c r="D136" s="9"/>
      <c r="E136" s="9"/>
      <c r="F136" s="9"/>
      <c r="G136" s="9"/>
      <c r="H136" s="9"/>
      <c r="I136" s="28"/>
      <c r="J136" s="12"/>
      <c r="K136" s="28"/>
      <c r="L136" s="202"/>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K136" s="420"/>
      <c r="AL136" s="420"/>
      <c r="AM136" s="420"/>
      <c r="AN136" s="420"/>
      <c r="AO136" s="420"/>
      <c r="AP136" s="420"/>
      <c r="AQ136" s="420"/>
      <c r="AR136" s="420"/>
      <c r="AS136" s="420"/>
      <c r="AT136" s="420"/>
      <c r="AU136" s="420"/>
      <c r="AV136" s="420"/>
      <c r="AW136" s="420"/>
      <c r="AX136" s="420"/>
      <c r="AY136" s="420"/>
      <c r="AZ136" s="420"/>
      <c r="BA136" s="420"/>
      <c r="BB136" s="420"/>
      <c r="BC136" s="420"/>
      <c r="BD136" s="420"/>
      <c r="BE136" s="420"/>
      <c r="BF136" s="420"/>
      <c r="BG136" s="420"/>
      <c r="BH136" s="420"/>
      <c r="BI136" s="420"/>
      <c r="BJ136" s="420"/>
      <c r="BK136" s="420"/>
      <c r="BL136" s="420"/>
      <c r="BM136" s="420"/>
      <c r="BN136" s="420"/>
      <c r="BO136" s="420"/>
      <c r="BP136" s="420"/>
      <c r="BQ136" s="420"/>
      <c r="BR136" s="420"/>
      <c r="BS136" s="420"/>
      <c r="BT136" s="420"/>
      <c r="BU136" s="420"/>
      <c r="BV136" s="420"/>
      <c r="BW136" s="420"/>
      <c r="BX136" s="420"/>
      <c r="BY136" s="420"/>
      <c r="BZ136" s="420"/>
      <c r="CA136" s="202"/>
      <c r="CB136" s="202"/>
      <c r="CC136" s="202"/>
      <c r="CD136" s="202"/>
      <c r="CE136" s="202"/>
      <c r="CF136" s="202"/>
      <c r="CG136" s="202"/>
      <c r="CH136" s="202"/>
      <c r="CI136" s="202"/>
      <c r="CJ136" s="202"/>
    </row>
    <row r="137" spans="1:115" s="204" customFormat="1" ht="26.25" hidden="1" customHeight="1" thickBot="1" x14ac:dyDescent="0.3">
      <c r="A137" s="263" t="s">
        <v>261</v>
      </c>
      <c r="B137" s="267"/>
      <c r="C137" s="930"/>
      <c r="D137" s="930"/>
      <c r="E137" s="930"/>
      <c r="F137" s="930"/>
      <c r="G137" s="930"/>
      <c r="H137" s="931"/>
      <c r="I137" s="266" t="s">
        <v>157</v>
      </c>
      <c r="J137" s="260" t="s">
        <v>158</v>
      </c>
      <c r="K137" s="28"/>
      <c r="L137" s="202"/>
      <c r="M137" s="420">
        <f>IF(I86=0,"0",6)</f>
        <v>6</v>
      </c>
      <c r="N137" s="517">
        <f>ROUND(N138,1)</f>
        <v>0</v>
      </c>
      <c r="O137" s="420"/>
      <c r="P137" s="420"/>
      <c r="Q137" s="420"/>
      <c r="R137" s="420"/>
      <c r="S137" s="420"/>
      <c r="T137" s="420"/>
      <c r="U137" s="420"/>
      <c r="V137" s="420"/>
      <c r="W137" s="420"/>
      <c r="X137" s="420"/>
      <c r="Y137" s="420"/>
      <c r="Z137" s="420"/>
      <c r="AA137" s="420"/>
      <c r="AB137" s="420"/>
      <c r="AC137" s="420"/>
      <c r="AD137" s="420"/>
      <c r="AE137" s="420"/>
      <c r="AF137" s="420"/>
      <c r="AG137" s="420"/>
      <c r="AH137" s="420"/>
      <c r="AI137" s="420"/>
      <c r="AJ137" s="420"/>
      <c r="AK137" s="420"/>
      <c r="AL137" s="420"/>
      <c r="AM137" s="420"/>
      <c r="AN137" s="420"/>
      <c r="AO137" s="420"/>
      <c r="AP137" s="420"/>
      <c r="AQ137" s="420"/>
      <c r="AR137" s="420"/>
      <c r="AS137" s="420"/>
      <c r="AT137" s="420"/>
      <c r="AU137" s="420"/>
      <c r="AV137" s="420"/>
      <c r="AW137" s="420"/>
      <c r="AX137" s="420"/>
      <c r="AY137" s="420"/>
      <c r="AZ137" s="420"/>
      <c r="BA137" s="420"/>
      <c r="BB137" s="420"/>
      <c r="BC137" s="420"/>
      <c r="BD137" s="420"/>
      <c r="BE137" s="420"/>
      <c r="BF137" s="420"/>
      <c r="BG137" s="420"/>
      <c r="BH137" s="420"/>
      <c r="BI137" s="420"/>
      <c r="BJ137" s="420"/>
      <c r="BK137" s="420"/>
      <c r="BL137" s="420"/>
      <c r="BM137" s="420"/>
      <c r="BN137" s="420"/>
      <c r="BO137" s="420"/>
      <c r="BP137" s="420"/>
      <c r="BQ137" s="420"/>
      <c r="BR137" s="420"/>
      <c r="BS137" s="420"/>
      <c r="BT137" s="420"/>
      <c r="BU137" s="420"/>
      <c r="BV137" s="420"/>
      <c r="BW137" s="420"/>
      <c r="BX137" s="420"/>
      <c r="BY137" s="420"/>
      <c r="BZ137" s="420"/>
      <c r="CA137" s="202"/>
      <c r="CB137" s="202"/>
      <c r="CC137" s="202"/>
      <c r="CD137" s="202"/>
      <c r="CE137" s="202"/>
      <c r="CF137" s="202"/>
      <c r="CG137" s="202"/>
      <c r="CH137" s="202"/>
      <c r="CI137" s="202"/>
      <c r="CJ137" s="202"/>
    </row>
    <row r="138" spans="1:115" s="204" customFormat="1" ht="15.75" hidden="1" customHeight="1" thickBot="1" x14ac:dyDescent="0.3">
      <c r="A138" s="150" t="s">
        <v>196</v>
      </c>
      <c r="B138" s="151"/>
      <c r="C138" s="151"/>
      <c r="D138" s="151"/>
      <c r="E138" s="151"/>
      <c r="F138" s="151"/>
      <c r="G138" s="151"/>
      <c r="H138" s="152"/>
      <c r="I138" s="398" t="str">
        <f>CONCATENATE(M137," Mo.")</f>
        <v>6 Mo.</v>
      </c>
      <c r="J138" s="399" t="str">
        <f>CONCATENATE(N137," Mo.")</f>
        <v>0 Mo.</v>
      </c>
      <c r="K138" s="28"/>
      <c r="L138" s="202"/>
      <c r="M138" s="518">
        <v>6</v>
      </c>
      <c r="N138" s="519">
        <f>+CE88</f>
        <v>0</v>
      </c>
      <c r="O138" s="420"/>
      <c r="P138" s="420"/>
      <c r="Q138" s="420"/>
      <c r="R138" s="897" t="s">
        <v>179</v>
      </c>
      <c r="S138" s="897" t="s">
        <v>180</v>
      </c>
      <c r="T138" s="897" t="s">
        <v>184</v>
      </c>
      <c r="U138" s="897" t="s">
        <v>278</v>
      </c>
      <c r="V138" s="520"/>
      <c r="W138" s="520"/>
      <c r="X138" s="897" t="s">
        <v>279</v>
      </c>
      <c r="Y138" s="420"/>
      <c r="Z138" s="897" t="s">
        <v>179</v>
      </c>
      <c r="AA138" s="520"/>
      <c r="AB138" s="520"/>
      <c r="AC138" s="520"/>
      <c r="AD138" s="520"/>
      <c r="AE138" s="520"/>
      <c r="AF138" s="520"/>
      <c r="AG138" s="520"/>
      <c r="AH138" s="897" t="s">
        <v>180</v>
      </c>
      <c r="AI138" s="897" t="s">
        <v>188</v>
      </c>
      <c r="AJ138" s="898" t="s">
        <v>293</v>
      </c>
      <c r="AK138" s="897" t="s">
        <v>280</v>
      </c>
      <c r="AL138" s="897" t="s">
        <v>239</v>
      </c>
      <c r="AM138" s="897" t="s">
        <v>281</v>
      </c>
      <c r="AN138" s="897" t="s">
        <v>282</v>
      </c>
      <c r="AO138" s="516"/>
      <c r="AP138" s="897" t="s">
        <v>185</v>
      </c>
      <c r="AQ138" s="897" t="s">
        <v>186</v>
      </c>
      <c r="AR138" s="520"/>
      <c r="AS138" s="420"/>
      <c r="AT138" s="420"/>
      <c r="AU138" s="420"/>
      <c r="AV138" s="420"/>
      <c r="AW138" s="420"/>
      <c r="AX138" s="420"/>
      <c r="AY138" s="420"/>
      <c r="AZ138" s="420"/>
      <c r="BA138" s="420"/>
      <c r="BB138" s="420"/>
      <c r="BC138" s="420"/>
      <c r="BD138" s="420"/>
      <c r="BE138" s="420"/>
      <c r="BF138" s="420"/>
      <c r="BG138" s="420"/>
      <c r="BH138" s="420"/>
      <c r="BI138" s="420"/>
      <c r="BJ138" s="420"/>
      <c r="BK138" s="420"/>
      <c r="BL138" s="420"/>
      <c r="BM138" s="420"/>
      <c r="BN138" s="420"/>
      <c r="BO138" s="420"/>
      <c r="BP138" s="420"/>
      <c r="BQ138" s="420"/>
      <c r="BR138" s="420"/>
      <c r="BS138" s="420"/>
      <c r="BT138" s="420"/>
      <c r="BU138" s="420"/>
      <c r="BV138" s="420"/>
      <c r="BW138" s="420"/>
      <c r="BX138" s="420"/>
      <c r="BY138" s="420"/>
      <c r="BZ138" s="420"/>
      <c r="CA138" s="202"/>
      <c r="CB138" s="202"/>
      <c r="CC138" s="202"/>
      <c r="CD138" s="202"/>
      <c r="CE138" s="202"/>
      <c r="CF138" s="202"/>
      <c r="CG138" s="202"/>
      <c r="CH138" s="202"/>
      <c r="CI138" s="202"/>
      <c r="CJ138" s="202"/>
    </row>
    <row r="139" spans="1:115" s="204" customFormat="1" ht="15.75" hidden="1" customHeight="1" x14ac:dyDescent="0.25">
      <c r="A139" s="133" t="s">
        <v>197</v>
      </c>
      <c r="B139" s="131"/>
      <c r="C139" s="131"/>
      <c r="D139" s="132"/>
      <c r="E139" s="132"/>
      <c r="F139" s="132"/>
      <c r="G139" s="132"/>
      <c r="H139" s="132"/>
      <c r="I139" s="384" t="str">
        <f>IF(M139=0," ",M139)</f>
        <v xml:space="preserve"> </v>
      </c>
      <c r="J139" s="384" t="str">
        <f>IF(N139=0," ",N139)</f>
        <v xml:space="preserve"> </v>
      </c>
      <c r="K139" s="28"/>
      <c r="L139" s="202"/>
      <c r="M139" s="521">
        <f>+T85/12*M138</f>
        <v>0</v>
      </c>
      <c r="N139" s="522">
        <f>+(T50+T78)/12*N138</f>
        <v>0</v>
      </c>
      <c r="O139" s="420"/>
      <c r="P139" s="420"/>
      <c r="Q139" s="420"/>
      <c r="R139" s="897"/>
      <c r="S139" s="897"/>
      <c r="T139" s="897"/>
      <c r="U139" s="897"/>
      <c r="V139" s="520"/>
      <c r="W139" s="520"/>
      <c r="X139" s="897"/>
      <c r="Y139" s="420"/>
      <c r="Z139" s="897"/>
      <c r="AA139" s="520"/>
      <c r="AB139" s="520"/>
      <c r="AC139" s="520"/>
      <c r="AD139" s="520"/>
      <c r="AE139" s="520"/>
      <c r="AF139" s="520"/>
      <c r="AG139" s="520"/>
      <c r="AH139" s="897"/>
      <c r="AI139" s="897"/>
      <c r="AJ139" s="897"/>
      <c r="AK139" s="897"/>
      <c r="AL139" s="897"/>
      <c r="AM139" s="897"/>
      <c r="AN139" s="897"/>
      <c r="AO139" s="516"/>
      <c r="AP139" s="897"/>
      <c r="AQ139" s="897"/>
      <c r="AR139" s="520"/>
      <c r="AS139" s="420"/>
      <c r="AT139" s="420"/>
      <c r="AU139" s="420"/>
      <c r="AV139" s="420"/>
      <c r="AW139" s="420"/>
      <c r="AX139" s="420"/>
      <c r="AY139" s="420"/>
      <c r="AZ139" s="420"/>
      <c r="BA139" s="420"/>
      <c r="BB139" s="420"/>
      <c r="BC139" s="420"/>
      <c r="BD139" s="420"/>
      <c r="BE139" s="420"/>
      <c r="BF139" s="420"/>
      <c r="BG139" s="420"/>
      <c r="BH139" s="420"/>
      <c r="BI139" s="420"/>
      <c r="BJ139" s="420"/>
      <c r="BK139" s="420"/>
      <c r="BL139" s="420"/>
      <c r="BM139" s="420"/>
      <c r="BN139" s="420"/>
      <c r="BO139" s="420"/>
      <c r="BP139" s="420"/>
      <c r="BQ139" s="420"/>
      <c r="BR139" s="420"/>
      <c r="BS139" s="420"/>
      <c r="BT139" s="420"/>
      <c r="BU139" s="420"/>
      <c r="BV139" s="420"/>
      <c r="BW139" s="420"/>
      <c r="BX139" s="420"/>
      <c r="BY139" s="420"/>
      <c r="BZ139" s="420"/>
      <c r="CA139" s="202"/>
      <c r="CB139" s="202"/>
      <c r="CC139" s="202"/>
      <c r="CD139" s="202"/>
      <c r="CE139" s="202"/>
      <c r="CF139" s="202"/>
      <c r="CG139" s="202"/>
      <c r="CH139" s="202"/>
      <c r="CI139" s="202"/>
      <c r="CJ139" s="202"/>
    </row>
    <row r="140" spans="1:115" s="204" customFormat="1" ht="15.75" hidden="1" customHeight="1" thickBot="1" x14ac:dyDescent="0.3">
      <c r="A140" s="154" t="s">
        <v>242</v>
      </c>
      <c r="B140" s="5"/>
      <c r="C140" s="5"/>
      <c r="D140" s="9"/>
      <c r="E140" s="9"/>
      <c r="F140" s="9"/>
      <c r="G140" s="9"/>
      <c r="H140" s="9"/>
      <c r="I140" s="385" t="str">
        <f>IF(M140=0," ",M140)</f>
        <v xml:space="preserve"> </v>
      </c>
      <c r="J140" s="385" t="str">
        <f>IF(N140=0," ",N140)</f>
        <v xml:space="preserve"> </v>
      </c>
      <c r="K140" s="28"/>
      <c r="L140" s="202"/>
      <c r="M140" s="521">
        <f>IF(I132=" ",0,I132)</f>
        <v>0</v>
      </c>
      <c r="N140" s="506">
        <f>IF(J132=" ",0,J132)</f>
        <v>0</v>
      </c>
      <c r="O140" s="420"/>
      <c r="P140" s="420"/>
      <c r="Q140" s="420"/>
      <c r="R140" s="897"/>
      <c r="S140" s="897"/>
      <c r="T140" s="897"/>
      <c r="U140" s="897"/>
      <c r="V140" s="520"/>
      <c r="W140" s="520"/>
      <c r="X140" s="897"/>
      <c r="Y140" s="420"/>
      <c r="Z140" s="897"/>
      <c r="AA140" s="520"/>
      <c r="AB140" s="520"/>
      <c r="AC140" s="520"/>
      <c r="AD140" s="520"/>
      <c r="AE140" s="520"/>
      <c r="AF140" s="520"/>
      <c r="AG140" s="520"/>
      <c r="AH140" s="897"/>
      <c r="AI140" s="897"/>
      <c r="AJ140" s="897"/>
      <c r="AK140" s="897"/>
      <c r="AL140" s="897"/>
      <c r="AM140" s="897"/>
      <c r="AN140" s="897"/>
      <c r="AO140" s="516"/>
      <c r="AP140" s="897"/>
      <c r="AQ140" s="897"/>
      <c r="AR140" s="520"/>
      <c r="AS140" s="420"/>
      <c r="AT140" s="420"/>
      <c r="AU140" s="420"/>
      <c r="AV140" s="420"/>
      <c r="AW140" s="420"/>
      <c r="AX140" s="420"/>
      <c r="AY140" s="420"/>
      <c r="AZ140" s="420"/>
      <c r="BA140" s="420"/>
      <c r="BB140" s="420"/>
      <c r="BC140" s="420"/>
      <c r="BD140" s="420"/>
      <c r="BE140" s="420"/>
      <c r="BF140" s="420"/>
      <c r="BG140" s="420"/>
      <c r="BH140" s="420"/>
      <c r="BI140" s="420"/>
      <c r="BJ140" s="420"/>
      <c r="BK140" s="420"/>
      <c r="BL140" s="420"/>
      <c r="BM140" s="420"/>
      <c r="BN140" s="420"/>
      <c r="BO140" s="420"/>
      <c r="BP140" s="420"/>
      <c r="BQ140" s="420"/>
      <c r="BR140" s="420"/>
      <c r="BS140" s="420"/>
      <c r="BT140" s="420"/>
      <c r="BU140" s="420"/>
      <c r="BV140" s="420"/>
      <c r="BW140" s="420"/>
      <c r="BX140" s="420"/>
      <c r="BY140" s="420"/>
      <c r="BZ140" s="420"/>
      <c r="CA140" s="202"/>
      <c r="CB140" s="202"/>
      <c r="CC140" s="202"/>
      <c r="CD140" s="202"/>
      <c r="CE140" s="202"/>
      <c r="CF140" s="202"/>
      <c r="CG140" s="202"/>
      <c r="CH140" s="202"/>
      <c r="CI140" s="202"/>
      <c r="CJ140" s="202"/>
    </row>
    <row r="141" spans="1:115" s="206" customFormat="1" ht="25.5" hidden="1" customHeight="1" thickBot="1" x14ac:dyDescent="0.3">
      <c r="A141" s="343" t="s">
        <v>178</v>
      </c>
      <c r="B141" s="344"/>
      <c r="C141" s="344"/>
      <c r="D141" s="345"/>
      <c r="E141" s="345"/>
      <c r="F141" s="345"/>
      <c r="G141" s="345"/>
      <c r="H141" s="345"/>
      <c r="I141" s="386" t="str">
        <f>IF(I140="Fehler","Fehler",IF(M139&gt;0.1,IF(M139&lt;M140,"ja","nein")," "))</f>
        <v xml:space="preserve"> </v>
      </c>
      <c r="J141" s="387" t="str">
        <f>IF(J140="Fehler","Fehler",IF(N139&gt;0.1,IF(N139&lt;N140,"ja","nein")," "))</f>
        <v xml:space="preserve"> </v>
      </c>
      <c r="K141" s="153"/>
      <c r="L141" s="205"/>
      <c r="M141" s="488"/>
      <c r="N141" s="488"/>
      <c r="O141" s="488"/>
      <c r="P141" s="488" t="s">
        <v>232</v>
      </c>
      <c r="Q141" s="488" t="s">
        <v>233</v>
      </c>
      <c r="R141" s="897"/>
      <c r="S141" s="897"/>
      <c r="T141" s="897"/>
      <c r="U141" s="897"/>
      <c r="V141" s="520"/>
      <c r="W141" s="520"/>
      <c r="X141" s="897"/>
      <c r="Y141" s="488"/>
      <c r="Z141" s="897"/>
      <c r="AA141" s="520"/>
      <c r="AB141" s="520"/>
      <c r="AC141" s="520"/>
      <c r="AD141" s="520"/>
      <c r="AE141" s="523"/>
      <c r="AF141" s="523"/>
      <c r="AG141" s="523"/>
      <c r="AH141" s="897"/>
      <c r="AI141" s="897"/>
      <c r="AJ141" s="897"/>
      <c r="AK141" s="897"/>
      <c r="AL141" s="897"/>
      <c r="AM141" s="897"/>
      <c r="AN141" s="897"/>
      <c r="AO141" s="524"/>
      <c r="AP141" s="897"/>
      <c r="AQ141" s="897"/>
      <c r="AR141" s="520"/>
      <c r="AS141" s="488"/>
      <c r="AT141" s="488"/>
      <c r="AU141" s="488"/>
      <c r="AV141" s="488"/>
      <c r="AW141" s="488"/>
      <c r="AX141" s="488"/>
      <c r="AY141" s="488"/>
      <c r="AZ141" s="488"/>
      <c r="BA141" s="488"/>
      <c r="BB141" s="488"/>
      <c r="BC141" s="488"/>
      <c r="BD141" s="488"/>
      <c r="BE141" s="488"/>
      <c r="BF141" s="488"/>
      <c r="BG141" s="488"/>
      <c r="BH141" s="488"/>
      <c r="BI141" s="488"/>
      <c r="BJ141" s="488"/>
      <c r="BK141" s="488"/>
      <c r="BL141" s="488"/>
      <c r="BM141" s="488"/>
      <c r="BN141" s="488"/>
      <c r="BO141" s="488"/>
      <c r="BP141" s="488"/>
      <c r="BQ141" s="488"/>
      <c r="BR141" s="488"/>
      <c r="BS141" s="488"/>
      <c r="BT141" s="488"/>
      <c r="BU141" s="488"/>
      <c r="BV141" s="488"/>
      <c r="BW141" s="488"/>
      <c r="BX141" s="488"/>
      <c r="BY141" s="488"/>
      <c r="BZ141" s="488"/>
      <c r="CA141" s="205"/>
      <c r="CB141" s="205"/>
      <c r="CC141" s="205"/>
      <c r="CD141" s="205"/>
      <c r="CE141" s="205"/>
      <c r="CF141" s="205"/>
      <c r="CG141" s="205"/>
      <c r="CH141" s="205"/>
      <c r="CI141" s="205"/>
      <c r="CJ141" s="205"/>
    </row>
    <row r="142" spans="1:115" s="204" customFormat="1" ht="21.75" hidden="1" customHeight="1" thickBot="1" x14ac:dyDescent="0.3">
      <c r="A142" s="32"/>
      <c r="B142" s="5"/>
      <c r="C142" s="5"/>
      <c r="D142" s="9"/>
      <c r="E142" s="9"/>
      <c r="F142" s="9"/>
      <c r="G142" s="9"/>
      <c r="H142" s="9"/>
      <c r="I142" s="28"/>
      <c r="J142" s="12"/>
      <c r="K142" s="28"/>
      <c r="L142" s="202"/>
      <c r="M142" s="420"/>
      <c r="N142" s="420"/>
      <c r="O142" s="420"/>
      <c r="P142" s="420"/>
      <c r="Q142" s="420"/>
      <c r="R142" s="897"/>
      <c r="S142" s="897"/>
      <c r="T142" s="897"/>
      <c r="U142" s="897"/>
      <c r="V142" s="520"/>
      <c r="W142" s="520"/>
      <c r="X142" s="897"/>
      <c r="Y142" s="420"/>
      <c r="Z142" s="897"/>
      <c r="AA142" s="520"/>
      <c r="AB142" s="520"/>
      <c r="AC142" s="520"/>
      <c r="AD142" s="520"/>
      <c r="AE142" s="520"/>
      <c r="AF142" s="520"/>
      <c r="AG142" s="520"/>
      <c r="AH142" s="897"/>
      <c r="AI142" s="897"/>
      <c r="AJ142" s="897"/>
      <c r="AK142" s="897"/>
      <c r="AL142" s="897"/>
      <c r="AM142" s="897"/>
      <c r="AN142" s="897"/>
      <c r="AO142" s="516"/>
      <c r="AP142" s="897"/>
      <c r="AQ142" s="897"/>
      <c r="AR142" s="520"/>
      <c r="AS142" s="420"/>
      <c r="AT142" s="420"/>
      <c r="AU142" s="420"/>
      <c r="AV142" s="420"/>
      <c r="AW142" s="420"/>
      <c r="AX142" s="420"/>
      <c r="AY142" s="420"/>
      <c r="AZ142" s="420"/>
      <c r="BA142" s="420"/>
      <c r="BB142" s="420"/>
      <c r="BC142" s="420"/>
      <c r="BD142" s="420"/>
      <c r="BE142" s="420"/>
      <c r="BF142" s="420"/>
      <c r="BG142" s="420"/>
      <c r="BH142" s="420"/>
      <c r="BI142" s="420"/>
      <c r="BJ142" s="420"/>
      <c r="BK142" s="420"/>
      <c r="BL142" s="420"/>
      <c r="BM142" s="420"/>
      <c r="BN142" s="420"/>
      <c r="BO142" s="420"/>
      <c r="BP142" s="420"/>
      <c r="BQ142" s="420"/>
      <c r="BR142" s="420"/>
      <c r="BS142" s="420"/>
      <c r="BT142" s="420"/>
      <c r="BU142" s="420"/>
      <c r="BV142" s="420"/>
      <c r="BW142" s="420"/>
      <c r="BX142" s="420"/>
      <c r="BY142" s="420"/>
      <c r="BZ142" s="420"/>
      <c r="CA142" s="202"/>
      <c r="CB142" s="202"/>
      <c r="CC142" s="202"/>
      <c r="CD142" s="202"/>
      <c r="CE142" s="202"/>
      <c r="CF142" s="202"/>
      <c r="CG142" s="202"/>
      <c r="CH142" s="202"/>
      <c r="CI142" s="202"/>
      <c r="CJ142" s="202"/>
    </row>
    <row r="143" spans="1:115" s="204" customFormat="1" ht="26.25" customHeight="1" thickBot="1" x14ac:dyDescent="0.3">
      <c r="A143" s="263" t="s">
        <v>321</v>
      </c>
      <c r="B143" s="264"/>
      <c r="C143" s="264"/>
      <c r="D143" s="264"/>
      <c r="E143" s="264"/>
      <c r="F143" s="264"/>
      <c r="G143" s="264"/>
      <c r="H143" s="265"/>
      <c r="I143" s="266" t="s">
        <v>157</v>
      </c>
      <c r="J143" s="260" t="s">
        <v>158</v>
      </c>
      <c r="K143" s="28"/>
      <c r="L143" s="202"/>
      <c r="M143" s="517">
        <f>IF(I86=0,"0",ROUND(M144,1))</f>
        <v>11</v>
      </c>
      <c r="N143" s="517">
        <f>ROUND(N144,1)</f>
        <v>6</v>
      </c>
      <c r="O143" s="420"/>
      <c r="P143" s="420"/>
      <c r="Q143" s="420"/>
      <c r="R143" s="897"/>
      <c r="S143" s="897"/>
      <c r="T143" s="897"/>
      <c r="U143" s="897"/>
      <c r="V143" s="520"/>
      <c r="W143" s="520"/>
      <c r="X143" s="897"/>
      <c r="Y143" s="420"/>
      <c r="Z143" s="897"/>
      <c r="AA143" s="520"/>
      <c r="AB143" s="520"/>
      <c r="AC143" s="520"/>
      <c r="AD143" s="520"/>
      <c r="AE143" s="520"/>
      <c r="AF143" s="520"/>
      <c r="AG143" s="520"/>
      <c r="AH143" s="897"/>
      <c r="AI143" s="897"/>
      <c r="AJ143" s="897"/>
      <c r="AK143" s="897"/>
      <c r="AL143" s="897"/>
      <c r="AM143" s="897"/>
      <c r="AN143" s="897"/>
      <c r="AO143" s="516"/>
      <c r="AP143" s="897"/>
      <c r="AQ143" s="897"/>
      <c r="AR143" s="520"/>
      <c r="AS143" s="420"/>
      <c r="AT143" s="420"/>
      <c r="AU143" s="420"/>
      <c r="AV143" s="420"/>
      <c r="AW143" s="420"/>
      <c r="AX143" s="420"/>
      <c r="AY143" s="420"/>
      <c r="AZ143" s="420"/>
      <c r="BA143" s="420"/>
      <c r="BB143" s="420"/>
      <c r="BC143" s="420"/>
      <c r="BD143" s="420"/>
      <c r="BE143" s="420"/>
      <c r="BF143" s="420"/>
      <c r="BG143" s="420"/>
      <c r="BH143" s="420"/>
      <c r="BI143" s="420"/>
      <c r="BJ143" s="420"/>
      <c r="BK143" s="420"/>
      <c r="BL143" s="420"/>
      <c r="BM143" s="420"/>
      <c r="BN143" s="420"/>
      <c r="BO143" s="420"/>
      <c r="BP143" s="420"/>
      <c r="BQ143" s="420"/>
      <c r="BR143" s="420"/>
      <c r="BS143" s="420"/>
      <c r="BT143" s="420"/>
      <c r="BU143" s="420"/>
      <c r="BV143" s="420"/>
      <c r="BW143" s="420"/>
      <c r="BX143" s="420"/>
      <c r="BY143" s="420"/>
      <c r="BZ143" s="420"/>
      <c r="CA143" s="202"/>
      <c r="CB143" s="202"/>
      <c r="CC143" s="202"/>
      <c r="CD143" s="202"/>
      <c r="CE143" s="202"/>
      <c r="CF143" s="202"/>
      <c r="CG143" s="202"/>
      <c r="CH143" s="202"/>
      <c r="CI143" s="202"/>
      <c r="CJ143" s="202"/>
    </row>
    <row r="144" spans="1:115" s="204" customFormat="1" ht="15.75" customHeight="1" thickBot="1" x14ac:dyDescent="0.3">
      <c r="A144" s="582" t="s">
        <v>322</v>
      </c>
      <c r="B144" s="3"/>
      <c r="C144" s="3"/>
      <c r="D144" s="3"/>
      <c r="E144" s="3"/>
      <c r="F144" s="3"/>
      <c r="G144" s="3"/>
      <c r="H144" s="148"/>
      <c r="I144" s="399" t="str">
        <f>CONCATENATE(M143," Mo.")</f>
        <v>11 Mo.</v>
      </c>
      <c r="J144" s="399" t="str">
        <f>CONCATENATE(N143," Mo.")</f>
        <v>6 Mo.</v>
      </c>
      <c r="K144" s="28"/>
      <c r="L144" s="202"/>
      <c r="M144" s="525">
        <f>IF((R145+M11)=0,11,IF(S145&gt;3,11,9))</f>
        <v>11</v>
      </c>
      <c r="N144" s="583">
        <f>+IF(Q78&gt;1,8,6)</f>
        <v>6</v>
      </c>
      <c r="O144" s="420"/>
      <c r="P144" s="420"/>
      <c r="Q144" s="420"/>
      <c r="R144" s="897"/>
      <c r="S144" s="897"/>
      <c r="T144" s="897"/>
      <c r="U144" s="897"/>
      <c r="V144" s="520"/>
      <c r="W144" s="520"/>
      <c r="X144" s="897"/>
      <c r="Y144" s="520"/>
      <c r="Z144" s="897"/>
      <c r="AA144" s="520"/>
      <c r="AB144" s="520"/>
      <c r="AC144" s="520"/>
      <c r="AD144" s="520"/>
      <c r="AE144" s="520"/>
      <c r="AF144" s="520"/>
      <c r="AG144" s="520"/>
      <c r="AH144" s="897"/>
      <c r="AI144" s="897"/>
      <c r="AJ144" s="897"/>
      <c r="AK144" s="897"/>
      <c r="AL144" s="897"/>
      <c r="AM144" s="897"/>
      <c r="AN144" s="897"/>
      <c r="AO144" s="516"/>
      <c r="AP144" s="897"/>
      <c r="AQ144" s="897"/>
      <c r="AR144" s="520"/>
      <c r="AS144" s="420"/>
      <c r="AT144" s="420"/>
      <c r="AU144" s="420"/>
      <c r="AV144" s="420"/>
      <c r="AW144" s="420"/>
      <c r="AX144" s="420"/>
      <c r="AY144" s="420"/>
      <c r="AZ144" s="420"/>
      <c r="BA144" s="420"/>
      <c r="BB144" s="420"/>
      <c r="BC144" s="420"/>
      <c r="BD144" s="420"/>
      <c r="BE144" s="420"/>
      <c r="BF144" s="420"/>
      <c r="BG144" s="420"/>
      <c r="BH144" s="420"/>
      <c r="BI144" s="420"/>
      <c r="BJ144" s="420"/>
      <c r="BK144" s="420"/>
      <c r="BL144" s="420"/>
      <c r="BM144" s="420"/>
      <c r="BN144" s="420"/>
      <c r="BO144" s="420"/>
      <c r="BP144" s="420"/>
      <c r="BQ144" s="420"/>
      <c r="BR144" s="420"/>
      <c r="BS144" s="420"/>
      <c r="BT144" s="420"/>
      <c r="BU144" s="420"/>
      <c r="BV144" s="420"/>
      <c r="BW144" s="420"/>
      <c r="BX144" s="420"/>
      <c r="BY144" s="420"/>
      <c r="BZ144" s="420"/>
      <c r="CA144" s="202"/>
      <c r="CB144" s="202"/>
      <c r="CC144" s="202"/>
      <c r="CD144" s="202"/>
      <c r="CE144" s="202"/>
      <c r="CF144" s="202"/>
      <c r="CG144" s="202"/>
      <c r="CH144" s="202"/>
      <c r="CI144" s="202"/>
      <c r="CJ144" s="202"/>
    </row>
    <row r="145" spans="1:88" s="204" customFormat="1" ht="15.75" customHeight="1" thickBot="1" x14ac:dyDescent="0.3">
      <c r="A145" s="6" t="s">
        <v>323</v>
      </c>
      <c r="B145" s="7"/>
      <c r="C145" s="7"/>
      <c r="D145" s="7"/>
      <c r="E145" s="7"/>
      <c r="F145" s="7"/>
      <c r="G145" s="7"/>
      <c r="H145" s="8"/>
      <c r="I145" s="364" t="str">
        <f>IF(M145=0," ",M145)</f>
        <v xml:space="preserve"> </v>
      </c>
      <c r="J145" s="364" t="str">
        <f>IF(N145=0," ",N145)</f>
        <v xml:space="preserve"> </v>
      </c>
      <c r="K145" s="28"/>
      <c r="L145" s="202"/>
      <c r="M145" s="567">
        <f>+IF(S85+T85=0,0,M139+((M144-M138)*S85/12))</f>
        <v>0</v>
      </c>
      <c r="N145" s="475">
        <f>(T50+T78)/12*N144</f>
        <v>0</v>
      </c>
      <c r="O145" s="420"/>
      <c r="P145" s="420"/>
      <c r="Q145" s="420"/>
      <c r="R145" s="526">
        <f>+F6-G7+F8-G9</f>
        <v>0</v>
      </c>
      <c r="S145" s="526">
        <f>IF(R145=0,100,BK49/R145)</f>
        <v>100</v>
      </c>
      <c r="T145" s="526">
        <f>(W49+AA49)/2/170</f>
        <v>0</v>
      </c>
      <c r="U145" s="527" t="e">
        <f>IF(R145+M11&gt;T145,100,(1-(T145-R145-M11)/T145)*100)</f>
        <v>#DIV/0!</v>
      </c>
      <c r="V145" s="526"/>
      <c r="W145" s="526"/>
      <c r="X145" s="527" t="e">
        <f>100-U145</f>
        <v>#DIV/0!</v>
      </c>
      <c r="Y145" s="420"/>
      <c r="Z145" s="420">
        <f>+R145</f>
        <v>0</v>
      </c>
      <c r="AA145" s="420"/>
      <c r="AB145" s="420"/>
      <c r="AC145" s="420"/>
      <c r="AD145" s="420"/>
      <c r="AE145" s="420"/>
      <c r="AF145" s="420"/>
      <c r="AG145" s="420"/>
      <c r="AH145" s="420">
        <f>+S145</f>
        <v>100</v>
      </c>
      <c r="AI145" s="516">
        <f>+F8-G9</f>
        <v>0</v>
      </c>
      <c r="AJ145" s="516">
        <f>+(X49+AB49)/2/255</f>
        <v>0</v>
      </c>
      <c r="AK145" s="516">
        <f>IF(AI145&lt;AJ145,AI145,AJ145)</f>
        <v>0</v>
      </c>
      <c r="AL145" s="491">
        <f>+AK145*255+(R145+M11-AK145)*170</f>
        <v>0</v>
      </c>
      <c r="AM145" s="527">
        <f>IF((W49+AA49)/2=0,100,(AL145/((W49+AA49)/2))*100)</f>
        <v>100</v>
      </c>
      <c r="AN145" s="527">
        <f>100-AM145</f>
        <v>0</v>
      </c>
      <c r="AO145" s="516"/>
      <c r="AP145" s="527" t="e">
        <f>IF(AM145&gt;100,100,(AM145*T13+U145*(100-T13))/100)</f>
        <v>#DIV/0!</v>
      </c>
      <c r="AQ145" s="527" t="e">
        <f>100-AP145</f>
        <v>#DIV/0!</v>
      </c>
      <c r="AR145" s="527"/>
      <c r="AS145" s="420"/>
      <c r="AT145" s="420"/>
      <c r="AU145" s="420"/>
      <c r="AV145" s="420"/>
      <c r="AW145" s="420"/>
      <c r="AX145" s="420"/>
      <c r="AY145" s="420"/>
      <c r="AZ145" s="420"/>
      <c r="BA145" s="420"/>
      <c r="BB145" s="420"/>
      <c r="BC145" s="420"/>
      <c r="BD145" s="420"/>
      <c r="BE145" s="420"/>
      <c r="BF145" s="420"/>
      <c r="BG145" s="420"/>
      <c r="BH145" s="420"/>
      <c r="BI145" s="420"/>
      <c r="BJ145" s="420"/>
      <c r="BK145" s="420"/>
      <c r="BL145" s="420"/>
      <c r="BM145" s="420"/>
      <c r="BN145" s="420"/>
      <c r="BO145" s="420"/>
      <c r="BP145" s="420"/>
      <c r="BQ145" s="420"/>
      <c r="BR145" s="420"/>
      <c r="BS145" s="420"/>
      <c r="BT145" s="420"/>
      <c r="BU145" s="420"/>
      <c r="BV145" s="420"/>
      <c r="BW145" s="420"/>
      <c r="BX145" s="420"/>
      <c r="BY145" s="420"/>
      <c r="BZ145" s="420"/>
      <c r="CA145" s="202"/>
      <c r="CB145" s="202"/>
      <c r="CC145" s="202"/>
      <c r="CD145" s="202"/>
      <c r="CE145" s="202"/>
      <c r="CF145" s="202"/>
      <c r="CG145" s="202"/>
      <c r="CH145" s="202"/>
      <c r="CI145" s="202"/>
      <c r="CJ145" s="202"/>
    </row>
    <row r="146" spans="1:88" s="204" customFormat="1" ht="15.75" customHeight="1" thickBot="1" x14ac:dyDescent="0.3">
      <c r="A146" s="154" t="s">
        <v>324</v>
      </c>
      <c r="B146" s="5"/>
      <c r="C146" s="5"/>
      <c r="D146" s="9"/>
      <c r="E146" s="9"/>
      <c r="F146" s="9"/>
      <c r="G146" s="9"/>
      <c r="H146" s="9"/>
      <c r="I146" s="385" t="str">
        <f>+I140</f>
        <v xml:space="preserve"> </v>
      </c>
      <c r="J146" s="385" t="str">
        <f>+J140</f>
        <v xml:space="preserve"> </v>
      </c>
      <c r="K146" s="28"/>
      <c r="L146" s="202"/>
      <c r="M146" s="478">
        <f>+M140</f>
        <v>0</v>
      </c>
      <c r="N146" s="478">
        <f>+N140</f>
        <v>0</v>
      </c>
      <c r="O146" s="420"/>
      <c r="P146" s="420"/>
      <c r="Q146" s="420"/>
      <c r="R146" s="526"/>
      <c r="S146" s="526"/>
      <c r="T146" s="526"/>
      <c r="U146" s="527"/>
      <c r="V146" s="526"/>
      <c r="W146" s="526"/>
      <c r="X146" s="527"/>
      <c r="Y146" s="420"/>
      <c r="Z146" s="420"/>
      <c r="AA146" s="420"/>
      <c r="AB146" s="420"/>
      <c r="AC146" s="420"/>
      <c r="AD146" s="420"/>
      <c r="AE146" s="420"/>
      <c r="AF146" s="420"/>
      <c r="AG146" s="420"/>
      <c r="AH146" s="420"/>
      <c r="AI146" s="516"/>
      <c r="AJ146" s="516"/>
      <c r="AK146" s="516"/>
      <c r="AL146" s="491"/>
      <c r="AM146" s="527"/>
      <c r="AN146" s="527"/>
      <c r="AO146" s="516"/>
      <c r="AP146" s="527"/>
      <c r="AQ146" s="527"/>
      <c r="AR146" s="527"/>
      <c r="AS146" s="420"/>
      <c r="AT146" s="420"/>
      <c r="AU146" s="420"/>
      <c r="AV146" s="420"/>
      <c r="AW146" s="420"/>
      <c r="AX146" s="420"/>
      <c r="AY146" s="420"/>
      <c r="AZ146" s="420"/>
      <c r="BA146" s="420"/>
      <c r="BB146" s="420"/>
      <c r="BC146" s="420"/>
      <c r="BD146" s="420"/>
      <c r="BE146" s="420"/>
      <c r="BF146" s="420"/>
      <c r="BG146" s="420"/>
      <c r="BH146" s="420"/>
      <c r="BI146" s="420"/>
      <c r="BJ146" s="420"/>
      <c r="BK146" s="420"/>
      <c r="BL146" s="420"/>
      <c r="BM146" s="420"/>
      <c r="BN146" s="420"/>
      <c r="BO146" s="420"/>
      <c r="BP146" s="420"/>
      <c r="BQ146" s="420"/>
      <c r="BR146" s="420"/>
      <c r="BS146" s="420"/>
      <c r="BT146" s="420"/>
      <c r="BU146" s="420"/>
      <c r="BV146" s="420"/>
      <c r="BW146" s="420"/>
      <c r="BX146" s="420"/>
      <c r="BY146" s="420"/>
      <c r="BZ146" s="420"/>
      <c r="CA146" s="202"/>
      <c r="CB146" s="202"/>
      <c r="CC146" s="202"/>
      <c r="CD146" s="202"/>
      <c r="CE146" s="202"/>
      <c r="CF146" s="202"/>
      <c r="CG146" s="202"/>
      <c r="CH146" s="202"/>
      <c r="CI146" s="202"/>
      <c r="CJ146" s="202"/>
    </row>
    <row r="147" spans="1:88" s="204" customFormat="1" ht="21" customHeight="1" thickBot="1" x14ac:dyDescent="0.3">
      <c r="A147" s="343" t="s">
        <v>327</v>
      </c>
      <c r="B147" s="344"/>
      <c r="C147" s="344"/>
      <c r="D147" s="345"/>
      <c r="E147" s="345"/>
      <c r="F147" s="345"/>
      <c r="G147" s="345"/>
      <c r="H147" s="345"/>
      <c r="I147" s="584" t="str">
        <f>IF(I145=" "," ",IF(I146=" ",I145,I145-I146))</f>
        <v xml:space="preserve"> </v>
      </c>
      <c r="J147" s="585" t="str">
        <f>IF(J145=" "," ",IF(J146=" ",J145,J145-J146))</f>
        <v xml:space="preserve"> </v>
      </c>
      <c r="K147" s="28"/>
      <c r="L147" s="202"/>
      <c r="M147" s="478"/>
      <c r="N147" s="478"/>
      <c r="O147" s="420"/>
      <c r="P147" s="420"/>
      <c r="Q147" s="420"/>
      <c r="R147" s="526"/>
      <c r="S147" s="526"/>
      <c r="T147" s="526"/>
      <c r="U147" s="527"/>
      <c r="V147" s="526"/>
      <c r="W147" s="526"/>
      <c r="X147" s="527"/>
      <c r="Y147" s="420"/>
      <c r="Z147" s="420"/>
      <c r="AA147" s="420"/>
      <c r="AB147" s="420"/>
      <c r="AC147" s="420"/>
      <c r="AD147" s="420"/>
      <c r="AE147" s="420"/>
      <c r="AF147" s="420"/>
      <c r="AG147" s="420"/>
      <c r="AH147" s="420"/>
      <c r="AI147" s="516"/>
      <c r="AJ147" s="516"/>
      <c r="AK147" s="516"/>
      <c r="AL147" s="491"/>
      <c r="AM147" s="527"/>
      <c r="AN147" s="527"/>
      <c r="AO147" s="516"/>
      <c r="AP147" s="527"/>
      <c r="AQ147" s="527"/>
      <c r="AR147" s="527"/>
      <c r="AS147" s="420"/>
      <c r="AT147" s="420"/>
      <c r="AU147" s="420"/>
      <c r="AV147" s="420"/>
      <c r="AW147" s="420"/>
      <c r="AX147" s="420"/>
      <c r="AY147" s="420"/>
      <c r="AZ147" s="420"/>
      <c r="BA147" s="420"/>
      <c r="BB147" s="420"/>
      <c r="BC147" s="420"/>
      <c r="BD147" s="420"/>
      <c r="BE147" s="420"/>
      <c r="BF147" s="420"/>
      <c r="BG147" s="420"/>
      <c r="BH147" s="420"/>
      <c r="BI147" s="420"/>
      <c r="BJ147" s="420"/>
      <c r="BK147" s="420"/>
      <c r="BL147" s="420"/>
      <c r="BM147" s="420"/>
      <c r="BN147" s="420"/>
      <c r="BO147" s="420"/>
      <c r="BP147" s="420"/>
      <c r="BQ147" s="420"/>
      <c r="BR147" s="420"/>
      <c r="BS147" s="420"/>
      <c r="BT147" s="420"/>
      <c r="BU147" s="420"/>
      <c r="BV147" s="420"/>
      <c r="BW147" s="420"/>
      <c r="BX147" s="420"/>
      <c r="BY147" s="420"/>
      <c r="BZ147" s="420"/>
      <c r="CA147" s="202"/>
      <c r="CB147" s="202"/>
      <c r="CC147" s="202"/>
      <c r="CD147" s="202"/>
      <c r="CE147" s="202"/>
      <c r="CF147" s="202"/>
      <c r="CG147" s="202"/>
      <c r="CH147" s="202"/>
      <c r="CI147" s="202"/>
      <c r="CJ147" s="202"/>
    </row>
    <row r="148" spans="1:88" s="204" customFormat="1" ht="13.5" customHeight="1" x14ac:dyDescent="0.25">
      <c r="A148" s="49" t="s">
        <v>206</v>
      </c>
      <c r="B148" s="400" t="str">
        <f>IF(F5=0,"Betrieb ohne Fläche",S145)</f>
        <v>Betrieb ohne Fläche</v>
      </c>
      <c r="C148" s="5"/>
      <c r="D148" s="5"/>
      <c r="E148" s="5"/>
      <c r="F148" s="5"/>
      <c r="G148" s="5"/>
      <c r="H148" s="9"/>
      <c r="I148" s="29"/>
      <c r="J148" s="29"/>
      <c r="K148" s="28"/>
      <c r="L148" s="202"/>
      <c r="M148" s="478"/>
      <c r="N148" s="478"/>
      <c r="O148" s="420"/>
      <c r="P148" s="420"/>
      <c r="Q148" s="420"/>
      <c r="R148" s="526"/>
      <c r="S148" s="526"/>
      <c r="T148" s="526"/>
      <c r="U148" s="526"/>
      <c r="V148" s="526"/>
      <c r="W148" s="526"/>
      <c r="X148" s="526"/>
      <c r="Y148" s="420"/>
      <c r="Z148" s="420"/>
      <c r="AA148" s="420"/>
      <c r="AB148" s="420"/>
      <c r="AC148" s="420"/>
      <c r="AD148" s="420"/>
      <c r="AE148" s="420"/>
      <c r="AF148" s="420"/>
      <c r="AG148" s="420"/>
      <c r="AH148" s="420"/>
      <c r="AI148" s="516"/>
      <c r="AJ148" s="516"/>
      <c r="AK148" s="516"/>
      <c r="AL148" s="420"/>
      <c r="AM148" s="526"/>
      <c r="AN148" s="526"/>
      <c r="AO148" s="516"/>
      <c r="AP148" s="527"/>
      <c r="AQ148" s="526"/>
      <c r="AR148" s="526"/>
      <c r="AS148" s="420"/>
      <c r="AT148" s="420"/>
      <c r="AU148" s="420"/>
      <c r="AV148" s="420"/>
      <c r="AW148" s="420"/>
      <c r="AX148" s="420"/>
      <c r="AY148" s="420"/>
      <c r="AZ148" s="420"/>
      <c r="BA148" s="420"/>
      <c r="BB148" s="420"/>
      <c r="BC148" s="420"/>
      <c r="BD148" s="420"/>
      <c r="BE148" s="420"/>
      <c r="BF148" s="420"/>
      <c r="BG148" s="420"/>
      <c r="BH148" s="420"/>
      <c r="BI148" s="420"/>
      <c r="BJ148" s="420"/>
      <c r="BK148" s="420"/>
      <c r="BL148" s="420"/>
      <c r="BM148" s="420"/>
      <c r="BN148" s="420"/>
      <c r="BO148" s="420"/>
      <c r="BP148" s="420"/>
      <c r="BQ148" s="420"/>
      <c r="BR148" s="420"/>
      <c r="BS148" s="420"/>
      <c r="BT148" s="420"/>
      <c r="BU148" s="420"/>
      <c r="BV148" s="420"/>
      <c r="BW148" s="420"/>
      <c r="BX148" s="420"/>
      <c r="BY148" s="420"/>
      <c r="BZ148" s="420"/>
      <c r="CA148" s="202"/>
      <c r="CB148" s="202"/>
      <c r="CC148" s="202"/>
      <c r="CD148" s="202"/>
      <c r="CE148" s="202"/>
      <c r="CF148" s="202"/>
      <c r="CG148" s="202"/>
      <c r="CH148" s="202"/>
      <c r="CI148" s="202"/>
      <c r="CJ148" s="202"/>
    </row>
    <row r="149" spans="1:88" s="204" customFormat="1" ht="8.25" customHeight="1" thickBot="1" x14ac:dyDescent="0.3">
      <c r="A149" s="49"/>
      <c r="B149" s="400"/>
      <c r="C149" s="5"/>
      <c r="D149" s="5"/>
      <c r="E149" s="5"/>
      <c r="F149" s="5"/>
      <c r="G149" s="5"/>
      <c r="H149" s="9"/>
      <c r="I149" s="29"/>
      <c r="J149" s="29"/>
      <c r="K149" s="28"/>
      <c r="L149" s="202"/>
      <c r="M149" s="478"/>
      <c r="N149" s="478"/>
      <c r="O149" s="420"/>
      <c r="P149" s="420"/>
      <c r="Q149" s="420"/>
      <c r="R149" s="526"/>
      <c r="S149" s="526"/>
      <c r="T149" s="526"/>
      <c r="U149" s="526"/>
      <c r="V149" s="526"/>
      <c r="W149" s="526"/>
      <c r="X149" s="526"/>
      <c r="Y149" s="420"/>
      <c r="Z149" s="420"/>
      <c r="AA149" s="420"/>
      <c r="AB149" s="420"/>
      <c r="AC149" s="420"/>
      <c r="AD149" s="420"/>
      <c r="AE149" s="420"/>
      <c r="AF149" s="420"/>
      <c r="AG149" s="420"/>
      <c r="AH149" s="420"/>
      <c r="AI149" s="516"/>
      <c r="AJ149" s="516"/>
      <c r="AK149" s="516"/>
      <c r="AL149" s="420"/>
      <c r="AM149" s="526"/>
      <c r="AN149" s="526"/>
      <c r="AO149" s="516"/>
      <c r="AP149" s="527"/>
      <c r="AQ149" s="526"/>
      <c r="AR149" s="526"/>
      <c r="AS149" s="420"/>
      <c r="AT149" s="420"/>
      <c r="AU149" s="420"/>
      <c r="AV149" s="420"/>
      <c r="AW149" s="420"/>
      <c r="AX149" s="420"/>
      <c r="AY149" s="420"/>
      <c r="AZ149" s="420"/>
      <c r="BA149" s="420"/>
      <c r="BB149" s="420"/>
      <c r="BC149" s="420"/>
      <c r="BD149" s="420"/>
      <c r="BE149" s="420"/>
      <c r="BF149" s="420"/>
      <c r="BG149" s="420"/>
      <c r="BH149" s="420"/>
      <c r="BI149" s="420"/>
      <c r="BJ149" s="420"/>
      <c r="BK149" s="420"/>
      <c r="BL149" s="420"/>
      <c r="BM149" s="420"/>
      <c r="BN149" s="420"/>
      <c r="BO149" s="420"/>
      <c r="BP149" s="420"/>
      <c r="BQ149" s="420"/>
      <c r="BR149" s="420"/>
      <c r="BS149" s="420"/>
      <c r="BT149" s="420"/>
      <c r="BU149" s="420"/>
      <c r="BV149" s="420"/>
      <c r="BW149" s="420"/>
      <c r="BX149" s="420"/>
      <c r="BY149" s="420"/>
      <c r="BZ149" s="420"/>
      <c r="CA149" s="202"/>
      <c r="CB149" s="202"/>
      <c r="CC149" s="202"/>
      <c r="CD149" s="202"/>
      <c r="CE149" s="202"/>
      <c r="CF149" s="202"/>
      <c r="CG149" s="202"/>
      <c r="CH149" s="202"/>
      <c r="CI149" s="202"/>
      <c r="CJ149" s="202"/>
    </row>
    <row r="150" spans="1:88" s="204" customFormat="1" ht="20.25" customHeight="1" thickBot="1" x14ac:dyDescent="0.3">
      <c r="A150" s="998" t="s">
        <v>329</v>
      </c>
      <c r="B150" s="999"/>
      <c r="C150" s="999"/>
      <c r="D150" s="999"/>
      <c r="E150" s="999"/>
      <c r="F150" s="999"/>
      <c r="G150" s="999"/>
      <c r="H150" s="999"/>
      <c r="I150" s="999"/>
      <c r="J150" s="1000"/>
      <c r="K150" s="28"/>
      <c r="L150" s="202"/>
      <c r="M150" s="478"/>
      <c r="N150" s="478"/>
      <c r="O150" s="420"/>
      <c r="P150" s="420"/>
      <c r="Q150" s="420"/>
      <c r="R150" s="526"/>
      <c r="S150" s="526"/>
      <c r="T150" s="526"/>
      <c r="U150" s="526"/>
      <c r="V150" s="526"/>
      <c r="W150" s="526"/>
      <c r="X150" s="526"/>
      <c r="Y150" s="420"/>
      <c r="Z150" s="420"/>
      <c r="AA150" s="420"/>
      <c r="AB150" s="420"/>
      <c r="AC150" s="420"/>
      <c r="AD150" s="420"/>
      <c r="AE150" s="420"/>
      <c r="AF150" s="420"/>
      <c r="AG150" s="420"/>
      <c r="AH150" s="420"/>
      <c r="AI150" s="516"/>
      <c r="AJ150" s="516"/>
      <c r="AK150" s="516"/>
      <c r="AL150" s="420"/>
      <c r="AM150" s="526"/>
      <c r="AN150" s="526"/>
      <c r="AO150" s="516"/>
      <c r="AP150" s="527"/>
      <c r="AQ150" s="526"/>
      <c r="AR150" s="526"/>
      <c r="AS150" s="420"/>
      <c r="AT150" s="420"/>
      <c r="AU150" s="420"/>
      <c r="AV150" s="420"/>
      <c r="AW150" s="420"/>
      <c r="AX150" s="420"/>
      <c r="AY150" s="420"/>
      <c r="AZ150" s="420"/>
      <c r="BA150" s="420"/>
      <c r="BB150" s="420"/>
      <c r="BC150" s="420"/>
      <c r="BD150" s="420"/>
      <c r="BE150" s="420"/>
      <c r="BF150" s="420"/>
      <c r="BG150" s="420"/>
      <c r="BH150" s="420"/>
      <c r="BI150" s="420"/>
      <c r="BJ150" s="420"/>
      <c r="BK150" s="420"/>
      <c r="BL150" s="420"/>
      <c r="BM150" s="420"/>
      <c r="BN150" s="420"/>
      <c r="BO150" s="420"/>
      <c r="BP150" s="420"/>
      <c r="BQ150" s="420"/>
      <c r="BR150" s="420"/>
      <c r="BS150" s="420"/>
      <c r="BT150" s="420"/>
      <c r="BU150" s="420"/>
      <c r="BV150" s="420"/>
      <c r="BW150" s="420"/>
      <c r="BX150" s="420"/>
      <c r="BY150" s="420"/>
      <c r="BZ150" s="420"/>
      <c r="CA150" s="202"/>
      <c r="CB150" s="202"/>
      <c r="CC150" s="202"/>
      <c r="CD150" s="202"/>
      <c r="CE150" s="202"/>
      <c r="CF150" s="202"/>
      <c r="CG150" s="202"/>
      <c r="CH150" s="202"/>
      <c r="CI150" s="202"/>
      <c r="CJ150" s="202"/>
    </row>
    <row r="151" spans="1:88" s="204" customFormat="1" ht="4.5" customHeight="1" x14ac:dyDescent="0.25">
      <c r="A151" s="49"/>
      <c r="B151" s="400"/>
      <c r="C151" s="5"/>
      <c r="D151" s="5"/>
      <c r="E151" s="5"/>
      <c r="F151" s="5"/>
      <c r="G151" s="5"/>
      <c r="H151" s="9"/>
      <c r="I151" s="29"/>
      <c r="J151" s="29"/>
      <c r="K151" s="28"/>
      <c r="L151" s="202"/>
      <c r="M151" s="478"/>
      <c r="N151" s="478"/>
      <c r="O151" s="420"/>
      <c r="P151" s="420"/>
      <c r="Q151" s="420"/>
      <c r="R151" s="526"/>
      <c r="S151" s="526"/>
      <c r="T151" s="526"/>
      <c r="U151" s="526"/>
      <c r="V151" s="526"/>
      <c r="W151" s="526"/>
      <c r="X151" s="526"/>
      <c r="Y151" s="420"/>
      <c r="Z151" s="420"/>
      <c r="AA151" s="420"/>
      <c r="AB151" s="420"/>
      <c r="AC151" s="420"/>
      <c r="AD151" s="420"/>
      <c r="AE151" s="420"/>
      <c r="AF151" s="420"/>
      <c r="AG151" s="420"/>
      <c r="AH151" s="420"/>
      <c r="AI151" s="516"/>
      <c r="AJ151" s="516"/>
      <c r="AK151" s="516"/>
      <c r="AL151" s="420"/>
      <c r="AM151" s="526"/>
      <c r="AN151" s="526"/>
      <c r="AO151" s="516"/>
      <c r="AP151" s="527"/>
      <c r="AQ151" s="526"/>
      <c r="AR151" s="526"/>
      <c r="AS151" s="420"/>
      <c r="AT151" s="420"/>
      <c r="AU151" s="420"/>
      <c r="AV151" s="420"/>
      <c r="AW151" s="420"/>
      <c r="AX151" s="420"/>
      <c r="AY151" s="420"/>
      <c r="AZ151" s="420"/>
      <c r="BA151" s="420"/>
      <c r="BB151" s="420"/>
      <c r="BC151" s="420"/>
      <c r="BD151" s="420"/>
      <c r="BE151" s="420"/>
      <c r="BF151" s="420"/>
      <c r="BG151" s="420"/>
      <c r="BH151" s="420"/>
      <c r="BI151" s="420"/>
      <c r="BJ151" s="420"/>
      <c r="BK151" s="420"/>
      <c r="BL151" s="420"/>
      <c r="BM151" s="420"/>
      <c r="BN151" s="420"/>
      <c r="BO151" s="420"/>
      <c r="BP151" s="420"/>
      <c r="BQ151" s="420"/>
      <c r="BR151" s="420"/>
      <c r="BS151" s="420"/>
      <c r="BT151" s="420"/>
      <c r="BU151" s="420"/>
      <c r="BV151" s="420"/>
      <c r="BW151" s="420"/>
      <c r="BX151" s="420"/>
      <c r="BY151" s="420"/>
      <c r="BZ151" s="420"/>
      <c r="CA151" s="202"/>
      <c r="CB151" s="202"/>
      <c r="CC151" s="202"/>
      <c r="CD151" s="202"/>
      <c r="CE151" s="202"/>
      <c r="CF151" s="202"/>
      <c r="CG151" s="202"/>
      <c r="CH151" s="202"/>
      <c r="CI151" s="202"/>
      <c r="CJ151" s="202"/>
    </row>
    <row r="152" spans="1:88" s="204" customFormat="1" ht="11.25" customHeight="1" x14ac:dyDescent="0.25">
      <c r="A152" s="391" t="str">
        <f>IF(M49=0," ",IF(M152=" "," ",IF(M152&lt;=10," ",IF(M152&gt;10,"Achtung: Anlagenverordnung beachten; Gärsaft + verunreinigtes Wasser &gt; 10 % des Anfalls"))))</f>
        <v xml:space="preserve"> </v>
      </c>
      <c r="B152" s="30"/>
      <c r="C152" s="5"/>
      <c r="D152" s="5"/>
      <c r="E152" s="5"/>
      <c r="F152" s="5"/>
      <c r="G152" s="5"/>
      <c r="H152" s="9"/>
      <c r="I152" s="9"/>
      <c r="J152" s="28"/>
      <c r="K152" s="28"/>
      <c r="L152" s="202"/>
      <c r="M152" s="498" t="e">
        <f>((M47+M44)/I50)*100</f>
        <v>#VALUE!</v>
      </c>
      <c r="N152" s="420"/>
      <c r="O152" s="420"/>
      <c r="P152" s="420"/>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0"/>
      <c r="AM152" s="420"/>
      <c r="AN152" s="420"/>
      <c r="AO152" s="420"/>
      <c r="AP152" s="420"/>
      <c r="AQ152" s="420"/>
      <c r="AR152" s="420"/>
      <c r="AS152" s="420"/>
      <c r="AT152" s="420"/>
      <c r="AU152" s="420"/>
      <c r="AV152" s="420"/>
      <c r="AW152" s="420"/>
      <c r="AX152" s="420"/>
      <c r="AY152" s="420"/>
      <c r="AZ152" s="420"/>
      <c r="BA152" s="420"/>
      <c r="BB152" s="420"/>
      <c r="BC152" s="420"/>
      <c r="BD152" s="420"/>
      <c r="BE152" s="420"/>
      <c r="BF152" s="420"/>
      <c r="BG152" s="420"/>
      <c r="BH152" s="420"/>
      <c r="BI152" s="420"/>
      <c r="BJ152" s="420"/>
      <c r="BK152" s="420"/>
      <c r="BL152" s="420"/>
      <c r="BM152" s="420"/>
      <c r="BN152" s="420"/>
      <c r="BO152" s="420"/>
      <c r="BP152" s="420"/>
      <c r="BQ152" s="420"/>
      <c r="BR152" s="420"/>
      <c r="BS152" s="420"/>
      <c r="BT152" s="420"/>
      <c r="BU152" s="420"/>
      <c r="BV152" s="420"/>
      <c r="BW152" s="420"/>
      <c r="BX152" s="420"/>
      <c r="BY152" s="420"/>
      <c r="BZ152" s="420"/>
      <c r="CA152" s="202"/>
      <c r="CB152" s="202"/>
      <c r="CC152" s="202"/>
      <c r="CD152" s="202"/>
      <c r="CE152" s="202"/>
      <c r="CF152" s="202"/>
      <c r="CG152" s="202"/>
      <c r="CH152" s="202"/>
      <c r="CI152" s="202"/>
      <c r="CJ152" s="202"/>
    </row>
    <row r="153" spans="1:88" s="208" customFormat="1" ht="10.5" customHeight="1" x14ac:dyDescent="0.25">
      <c r="A153" s="41" t="s">
        <v>240</v>
      </c>
      <c r="B153" s="24"/>
      <c r="C153" s="24"/>
      <c r="D153" s="24"/>
      <c r="E153" s="24"/>
      <c r="F153" s="24"/>
      <c r="G153" s="24"/>
      <c r="H153" s="24"/>
      <c r="I153" s="24"/>
      <c r="J153" s="10"/>
      <c r="K153" s="38"/>
      <c r="L153" s="210"/>
      <c r="M153" s="528"/>
      <c r="N153" s="528"/>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J153" s="528"/>
      <c r="AK153" s="528"/>
      <c r="AL153" s="528"/>
      <c r="AM153" s="528"/>
      <c r="AN153" s="528"/>
      <c r="AO153" s="528"/>
      <c r="AP153" s="528"/>
      <c r="AQ153" s="528"/>
      <c r="AR153" s="528"/>
      <c r="AS153" s="528"/>
      <c r="AT153" s="528"/>
      <c r="AU153" s="528"/>
      <c r="AV153" s="528"/>
      <c r="AW153" s="528"/>
      <c r="AX153" s="528"/>
      <c r="AY153" s="528"/>
      <c r="AZ153" s="528"/>
      <c r="BA153" s="528"/>
      <c r="BB153" s="528"/>
      <c r="BC153" s="528"/>
      <c r="BD153" s="528"/>
      <c r="BE153" s="528"/>
      <c r="BF153" s="528"/>
      <c r="BG153" s="528"/>
      <c r="BH153" s="528"/>
      <c r="BI153" s="528"/>
      <c r="BJ153" s="528"/>
      <c r="BK153" s="528"/>
      <c r="BL153" s="528"/>
      <c r="BM153" s="528"/>
      <c r="BN153" s="528"/>
      <c r="BO153" s="528"/>
      <c r="BP153" s="528"/>
      <c r="BQ153" s="529"/>
      <c r="BR153" s="529"/>
      <c r="BS153" s="529"/>
      <c r="BT153" s="529"/>
      <c r="BU153" s="528"/>
      <c r="BV153" s="528"/>
      <c r="BW153" s="528"/>
      <c r="BX153" s="528"/>
      <c r="BY153" s="528"/>
      <c r="BZ153" s="528"/>
      <c r="CA153" s="210"/>
      <c r="CB153" s="210"/>
      <c r="CC153" s="210"/>
      <c r="CD153" s="210"/>
      <c r="CE153" s="210"/>
      <c r="CF153" s="210"/>
      <c r="CG153" s="210"/>
      <c r="CH153" s="210"/>
      <c r="CI153" s="210"/>
      <c r="CJ153" s="210"/>
    </row>
    <row r="154" spans="1:88" s="208" customFormat="1" ht="10.5" customHeight="1" x14ac:dyDescent="0.25">
      <c r="A154" s="41" t="s">
        <v>285</v>
      </c>
      <c r="B154" s="24"/>
      <c r="C154" s="24"/>
      <c r="D154" s="24"/>
      <c r="E154" s="24"/>
      <c r="F154" s="24"/>
      <c r="G154" s="24"/>
      <c r="H154" s="24"/>
      <c r="I154" s="24"/>
      <c r="J154" s="130"/>
      <c r="K154" s="38"/>
      <c r="L154" s="210"/>
      <c r="M154" s="528"/>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8"/>
      <c r="AL154" s="528"/>
      <c r="AM154" s="528"/>
      <c r="AN154" s="528"/>
      <c r="AO154" s="528"/>
      <c r="AP154" s="528"/>
      <c r="AQ154" s="528"/>
      <c r="AR154" s="528"/>
      <c r="AS154" s="528"/>
      <c r="AT154" s="528"/>
      <c r="AU154" s="528"/>
      <c r="AV154" s="528"/>
      <c r="AW154" s="528"/>
      <c r="AX154" s="528"/>
      <c r="AY154" s="528"/>
      <c r="AZ154" s="528"/>
      <c r="BA154" s="528"/>
      <c r="BB154" s="528"/>
      <c r="BC154" s="528"/>
      <c r="BD154" s="528"/>
      <c r="BE154" s="528"/>
      <c r="BF154" s="528"/>
      <c r="BG154" s="528"/>
      <c r="BH154" s="528"/>
      <c r="BI154" s="528"/>
      <c r="BJ154" s="528"/>
      <c r="BK154" s="528"/>
      <c r="BL154" s="528"/>
      <c r="BM154" s="528"/>
      <c r="BN154" s="528"/>
      <c r="BO154" s="528"/>
      <c r="BP154" s="528"/>
      <c r="BQ154" s="529"/>
      <c r="BR154" s="529"/>
      <c r="BS154" s="529"/>
      <c r="BT154" s="529"/>
      <c r="BU154" s="528"/>
      <c r="BV154" s="528"/>
      <c r="BW154" s="528"/>
      <c r="BX154" s="528"/>
      <c r="BY154" s="528"/>
      <c r="BZ154" s="528"/>
      <c r="CA154" s="210"/>
      <c r="CB154" s="210"/>
      <c r="CC154" s="210"/>
      <c r="CD154" s="210"/>
      <c r="CE154" s="210"/>
      <c r="CF154" s="210"/>
      <c r="CG154" s="210"/>
      <c r="CH154" s="210"/>
      <c r="CI154" s="210"/>
      <c r="CJ154" s="210"/>
    </row>
    <row r="155" spans="1:88" s="208" customFormat="1" ht="11.25" customHeight="1" x14ac:dyDescent="0.25">
      <c r="A155" s="208" t="s">
        <v>252</v>
      </c>
      <c r="F155" s="208">
        <f>R145</f>
        <v>0</v>
      </c>
      <c r="G155" s="208" t="s">
        <v>253</v>
      </c>
      <c r="I155" s="24"/>
      <c r="J155" s="10"/>
      <c r="K155" s="38"/>
      <c r="L155" s="210"/>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8"/>
      <c r="AL155" s="528"/>
      <c r="AM155" s="528"/>
      <c r="AN155" s="528"/>
      <c r="AO155" s="528"/>
      <c r="AP155" s="528"/>
      <c r="AQ155" s="528"/>
      <c r="AR155" s="528"/>
      <c r="AS155" s="528"/>
      <c r="AT155" s="528"/>
      <c r="AU155" s="528"/>
      <c r="AV155" s="528"/>
      <c r="AW155" s="528"/>
      <c r="AX155" s="528"/>
      <c r="AY155" s="528"/>
      <c r="AZ155" s="528"/>
      <c r="BA155" s="528"/>
      <c r="BB155" s="528"/>
      <c r="BC155" s="528"/>
      <c r="BD155" s="528"/>
      <c r="BE155" s="528"/>
      <c r="BF155" s="528"/>
      <c r="BG155" s="528"/>
      <c r="BH155" s="528"/>
      <c r="BI155" s="528"/>
      <c r="BJ155" s="528"/>
      <c r="BK155" s="528"/>
      <c r="BL155" s="528"/>
      <c r="BM155" s="528"/>
      <c r="BN155" s="528"/>
      <c r="BO155" s="528"/>
      <c r="BP155" s="528"/>
      <c r="BQ155" s="529"/>
      <c r="BR155" s="529"/>
      <c r="BS155" s="529"/>
      <c r="BT155" s="529"/>
      <c r="BU155" s="528"/>
      <c r="BV155" s="528"/>
      <c r="BW155" s="528"/>
      <c r="BX155" s="528"/>
      <c r="BY155" s="528"/>
      <c r="BZ155" s="528"/>
      <c r="CA155" s="210"/>
      <c r="CB155" s="210"/>
      <c r="CC155" s="210"/>
      <c r="CD155" s="210"/>
      <c r="CE155" s="210"/>
      <c r="CF155" s="210"/>
      <c r="CG155" s="210"/>
      <c r="CH155" s="210"/>
      <c r="CI155" s="210"/>
      <c r="CJ155" s="210"/>
    </row>
    <row r="156" spans="1:88" s="208" customFormat="1" ht="10.5" hidden="1" customHeight="1" x14ac:dyDescent="0.25">
      <c r="A156" s="130" t="s">
        <v>254</v>
      </c>
      <c r="B156" s="24"/>
      <c r="C156" s="24"/>
      <c r="D156" s="24"/>
      <c r="E156" s="24"/>
      <c r="F156" s="210">
        <f>M11</f>
        <v>0</v>
      </c>
      <c r="G156" s="393" t="s">
        <v>253</v>
      </c>
      <c r="H156" s="24"/>
      <c r="I156" s="24"/>
      <c r="J156" s="10"/>
      <c r="K156" s="38"/>
      <c r="L156" s="210"/>
      <c r="M156" s="528"/>
      <c r="N156" s="528"/>
      <c r="O156" s="528"/>
      <c r="P156" s="528"/>
      <c r="Q156" s="528"/>
      <c r="R156" s="528"/>
      <c r="S156" s="528"/>
      <c r="T156" s="528"/>
      <c r="U156" s="528"/>
      <c r="V156" s="528"/>
      <c r="W156" s="528"/>
      <c r="X156" s="528"/>
      <c r="Y156" s="528"/>
      <c r="Z156" s="528"/>
      <c r="AA156" s="528"/>
      <c r="AB156" s="528"/>
      <c r="AC156" s="528"/>
      <c r="AD156" s="528"/>
      <c r="AE156" s="528"/>
      <c r="AF156" s="528"/>
      <c r="AG156" s="528"/>
      <c r="AH156" s="528"/>
      <c r="AI156" s="528"/>
      <c r="AJ156" s="528"/>
      <c r="AK156" s="528"/>
      <c r="AL156" s="528"/>
      <c r="AM156" s="528"/>
      <c r="AN156" s="528"/>
      <c r="AO156" s="528"/>
      <c r="AP156" s="528"/>
      <c r="AQ156" s="528"/>
      <c r="AR156" s="528"/>
      <c r="AS156" s="528"/>
      <c r="AT156" s="528"/>
      <c r="AU156" s="528"/>
      <c r="AV156" s="528"/>
      <c r="AW156" s="528"/>
      <c r="AX156" s="528"/>
      <c r="AY156" s="528"/>
      <c r="AZ156" s="528"/>
      <c r="BA156" s="528"/>
      <c r="BB156" s="528"/>
      <c r="BC156" s="528"/>
      <c r="BD156" s="528"/>
      <c r="BE156" s="528"/>
      <c r="BF156" s="528"/>
      <c r="BG156" s="528"/>
      <c r="BH156" s="528"/>
      <c r="BI156" s="528"/>
      <c r="BJ156" s="528"/>
      <c r="BK156" s="528"/>
      <c r="BL156" s="528"/>
      <c r="BM156" s="528"/>
      <c r="BN156" s="528"/>
      <c r="BO156" s="528"/>
      <c r="BP156" s="528"/>
      <c r="BQ156" s="529"/>
      <c r="BR156" s="529"/>
      <c r="BS156" s="529"/>
      <c r="BT156" s="529"/>
      <c r="BU156" s="528"/>
      <c r="BV156" s="528"/>
      <c r="BW156" s="528"/>
      <c r="BX156" s="528"/>
      <c r="BY156" s="528"/>
      <c r="BZ156" s="528"/>
      <c r="CA156" s="210"/>
      <c r="CB156" s="210"/>
      <c r="CC156" s="210"/>
      <c r="CD156" s="210"/>
      <c r="CE156" s="210"/>
      <c r="CF156" s="210"/>
      <c r="CG156" s="210"/>
      <c r="CH156" s="210"/>
      <c r="CI156" s="210"/>
      <c r="CJ156" s="210"/>
    </row>
    <row r="157" spans="1:88" ht="5.25" customHeight="1" x14ac:dyDescent="0.25">
      <c r="K157" s="37"/>
      <c r="L157" s="211"/>
      <c r="M157" s="435"/>
      <c r="N157" s="435"/>
      <c r="O157" s="435"/>
      <c r="P157" s="435"/>
      <c r="Q157" s="435"/>
      <c r="R157" s="435"/>
      <c r="S157" s="435"/>
      <c r="T157" s="435"/>
      <c r="U157" s="435"/>
      <c r="V157" s="435"/>
      <c r="W157" s="435"/>
      <c r="X157" s="435"/>
      <c r="Y157" s="435"/>
      <c r="Z157" s="435"/>
      <c r="AA157" s="435"/>
      <c r="AB157" s="435"/>
      <c r="AC157" s="435"/>
      <c r="AD157" s="435"/>
      <c r="AE157" s="435"/>
      <c r="AF157" s="435"/>
      <c r="AG157" s="435"/>
      <c r="AH157" s="435"/>
      <c r="AI157" s="435"/>
      <c r="AJ157" s="435"/>
      <c r="AK157" s="435"/>
      <c r="AL157" s="435"/>
      <c r="AM157" s="435"/>
      <c r="AN157" s="435"/>
      <c r="AO157" s="435"/>
      <c r="AP157" s="435"/>
      <c r="AQ157" s="435"/>
      <c r="AR157" s="435"/>
      <c r="AS157" s="435"/>
      <c r="AT157" s="435"/>
      <c r="AU157" s="435"/>
      <c r="AV157" s="435"/>
      <c r="AW157" s="435"/>
      <c r="AX157" s="435"/>
      <c r="AY157" s="435"/>
      <c r="AZ157" s="435"/>
      <c r="BA157" s="435"/>
      <c r="BB157" s="435"/>
      <c r="BC157" s="435"/>
      <c r="BD157" s="435"/>
      <c r="BE157" s="435"/>
      <c r="BF157" s="435"/>
      <c r="BG157" s="435"/>
      <c r="BH157" s="435"/>
      <c r="BI157" s="435"/>
      <c r="BJ157" s="435"/>
      <c r="BK157" s="435"/>
      <c r="BL157" s="435"/>
      <c r="BM157" s="435"/>
      <c r="BN157" s="435"/>
      <c r="BO157" s="435"/>
      <c r="BP157" s="435"/>
      <c r="BQ157" s="412"/>
      <c r="BR157" s="412"/>
      <c r="BS157" s="412"/>
      <c r="BT157" s="412"/>
      <c r="BU157" s="435"/>
      <c r="BV157" s="435"/>
      <c r="BW157" s="435"/>
      <c r="BX157" s="435"/>
      <c r="BY157" s="435"/>
      <c r="BZ157" s="435"/>
      <c r="CA157" s="211"/>
      <c r="CB157" s="211"/>
      <c r="CC157" s="211"/>
      <c r="CD157" s="211"/>
      <c r="CE157" s="211"/>
      <c r="CF157" s="211"/>
      <c r="CG157" s="211"/>
      <c r="CH157" s="211"/>
      <c r="CI157" s="211"/>
      <c r="CJ157" s="211"/>
    </row>
    <row r="158" spans="1:88" ht="14.25" customHeight="1" x14ac:dyDescent="0.25">
      <c r="A158" s="992" t="str">
        <f>+A94</f>
        <v>© Bayerische Landesanstalt für Landwirtschaft; Stand: 01.09.2022</v>
      </c>
      <c r="B158" s="992"/>
      <c r="C158" s="992"/>
      <c r="D158" s="992"/>
      <c r="E158" s="992"/>
      <c r="F158" s="992"/>
      <c r="G158" s="992"/>
      <c r="H158" s="992"/>
      <c r="I158" s="992"/>
      <c r="J158" s="992"/>
      <c r="K158" s="37"/>
      <c r="L158" s="211"/>
      <c r="M158" s="435"/>
      <c r="N158" s="435"/>
      <c r="O158" s="435"/>
      <c r="P158" s="435"/>
      <c r="Q158" s="435"/>
      <c r="R158" s="435"/>
      <c r="S158" s="435"/>
      <c r="T158" s="435"/>
      <c r="U158" s="435"/>
      <c r="V158" s="435"/>
      <c r="W158" s="435"/>
      <c r="X158" s="435"/>
      <c r="Y158" s="435"/>
      <c r="Z158" s="435"/>
      <c r="AA158" s="435"/>
      <c r="AB158" s="435"/>
      <c r="AC158" s="435"/>
      <c r="AD158" s="435"/>
      <c r="AE158" s="435"/>
      <c r="AF158" s="435"/>
      <c r="AG158" s="435"/>
      <c r="AH158" s="435"/>
      <c r="AI158" s="435"/>
      <c r="AJ158" s="435"/>
      <c r="AK158" s="435"/>
      <c r="AL158" s="435"/>
      <c r="AM158" s="435"/>
      <c r="AN158" s="435"/>
      <c r="AO158" s="435"/>
      <c r="AP158" s="435"/>
      <c r="AQ158" s="435"/>
      <c r="AR158" s="435"/>
      <c r="AS158" s="435"/>
      <c r="AT158" s="435"/>
      <c r="AU158" s="435"/>
      <c r="AV158" s="435"/>
      <c r="AW158" s="435"/>
      <c r="AX158" s="435"/>
      <c r="AY158" s="435"/>
      <c r="AZ158" s="435"/>
      <c r="BA158" s="435"/>
      <c r="BB158" s="435"/>
      <c r="BC158" s="435"/>
      <c r="BD158" s="435"/>
      <c r="BE158" s="435"/>
      <c r="BF158" s="435"/>
      <c r="BG158" s="435"/>
      <c r="BH158" s="435"/>
      <c r="BI158" s="435"/>
      <c r="BJ158" s="435"/>
      <c r="BK158" s="435"/>
      <c r="BL158" s="435"/>
      <c r="BM158" s="435"/>
      <c r="BN158" s="435"/>
      <c r="BO158" s="435"/>
      <c r="BP158" s="435"/>
      <c r="BQ158" s="412"/>
      <c r="BR158" s="412"/>
      <c r="BS158" s="412"/>
      <c r="BT158" s="412"/>
      <c r="BU158" s="435"/>
      <c r="BV158" s="435"/>
      <c r="BW158" s="435"/>
      <c r="BX158" s="435"/>
      <c r="BY158" s="435"/>
      <c r="BZ158" s="435"/>
      <c r="CA158" s="211"/>
      <c r="CB158" s="211"/>
      <c r="CC158" s="211"/>
      <c r="CD158" s="211"/>
      <c r="CE158" s="211"/>
      <c r="CF158" s="211"/>
      <c r="CG158" s="211"/>
      <c r="CH158" s="211"/>
      <c r="CI158" s="211"/>
      <c r="CJ158" s="211"/>
    </row>
    <row r="159" spans="1:88" x14ac:dyDescent="0.25">
      <c r="A159" s="39"/>
      <c r="B159" s="5"/>
      <c r="C159" s="128"/>
      <c r="D159" s="127"/>
      <c r="E159" s="9"/>
      <c r="F159" s="9"/>
      <c r="G159" s="9"/>
      <c r="H159" s="9"/>
      <c r="I159" s="40"/>
      <c r="J159" s="28"/>
    </row>
  </sheetData>
  <sheetProtection algorithmName="SHA-512" hashValue="E55Aa/VuIbtk4Wvg1vaGbelLeJIVATGqC5dE2OfzPhF3sg3dhIKjE+s04tByC+p+UjncMyiwg3iOsZ6wVcnKXw==" saltValue="vjm5n7BG0UbZ5fr8xkrG+Q==" spinCount="100000" sheet="1" objects="1" scenarios="1"/>
  <dataConsolidate/>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142">
    <mergeCell ref="M4:N4"/>
    <mergeCell ref="D79:E79"/>
    <mergeCell ref="H79:I79"/>
    <mergeCell ref="E113:F113"/>
    <mergeCell ref="A113:B113"/>
    <mergeCell ref="G113:H113"/>
    <mergeCell ref="E109:F109"/>
    <mergeCell ref="A107:J107"/>
    <mergeCell ref="C113:D113"/>
    <mergeCell ref="A111:B111"/>
    <mergeCell ref="E110:F110"/>
    <mergeCell ref="I82:J82"/>
    <mergeCell ref="A94:J94"/>
    <mergeCell ref="E112:F112"/>
    <mergeCell ref="G110:H110"/>
    <mergeCell ref="G111:H111"/>
    <mergeCell ref="I109:J109"/>
    <mergeCell ref="C111:D111"/>
    <mergeCell ref="G109:H109"/>
    <mergeCell ref="C109:D109"/>
    <mergeCell ref="A89:C89"/>
    <mergeCell ref="A112:B112"/>
    <mergeCell ref="C110:D110"/>
    <mergeCell ref="A25:C25"/>
    <mergeCell ref="O60:Q60"/>
    <mergeCell ref="A41:C41"/>
    <mergeCell ref="A43:F43"/>
    <mergeCell ref="A31:C31"/>
    <mergeCell ref="A46:F46"/>
    <mergeCell ref="A44:F44"/>
    <mergeCell ref="A35:C35"/>
    <mergeCell ref="A39:C39"/>
    <mergeCell ref="A28:C28"/>
    <mergeCell ref="A55:J55"/>
    <mergeCell ref="A29:C29"/>
    <mergeCell ref="A1:J1"/>
    <mergeCell ref="A2:J2"/>
    <mergeCell ref="A158:J158"/>
    <mergeCell ref="G120:H120"/>
    <mergeCell ref="A118:B118"/>
    <mergeCell ref="C115:D115"/>
    <mergeCell ref="G116:H116"/>
    <mergeCell ref="E114:F114"/>
    <mergeCell ref="A117:B117"/>
    <mergeCell ref="A114:B114"/>
    <mergeCell ref="A121:H121"/>
    <mergeCell ref="G117:H117"/>
    <mergeCell ref="A150:J150"/>
    <mergeCell ref="B7:D7"/>
    <mergeCell ref="G21:H21"/>
    <mergeCell ref="B9:D9"/>
    <mergeCell ref="I20:J20"/>
    <mergeCell ref="A3:G3"/>
    <mergeCell ref="B6:D6"/>
    <mergeCell ref="E21:F21"/>
    <mergeCell ref="D20:H20"/>
    <mergeCell ref="B8:D8"/>
    <mergeCell ref="A90:C92"/>
    <mergeCell ref="E111:F111"/>
    <mergeCell ref="A26:C26"/>
    <mergeCell ref="A47:F47"/>
    <mergeCell ref="A52:B52"/>
    <mergeCell ref="A34:C34"/>
    <mergeCell ref="A27:C27"/>
    <mergeCell ref="G42:H42"/>
    <mergeCell ref="A40:C40"/>
    <mergeCell ref="A36:C36"/>
    <mergeCell ref="A45:F45"/>
    <mergeCell ref="A33:C33"/>
    <mergeCell ref="A37:H37"/>
    <mergeCell ref="A38:H38"/>
    <mergeCell ref="AG21:AL21"/>
    <mergeCell ref="W20:AD20"/>
    <mergeCell ref="R21:T21"/>
    <mergeCell ref="AN21:AS21"/>
    <mergeCell ref="CE22:CF22"/>
    <mergeCell ref="AX22:AZ22"/>
    <mergeCell ref="CC22:CD22"/>
    <mergeCell ref="AQ22:AS22"/>
    <mergeCell ref="AN22:AP22"/>
    <mergeCell ref="AJ22:AL22"/>
    <mergeCell ref="AG22:AI22"/>
    <mergeCell ref="AU22:AW22"/>
    <mergeCell ref="A124:B124"/>
    <mergeCell ref="A120:B120"/>
    <mergeCell ref="G118:H118"/>
    <mergeCell ref="G119:H119"/>
    <mergeCell ref="G114:H114"/>
    <mergeCell ref="C114:D114"/>
    <mergeCell ref="C112:D112"/>
    <mergeCell ref="G112:H112"/>
    <mergeCell ref="CU21:CV21"/>
    <mergeCell ref="BQ22:BS22"/>
    <mergeCell ref="A30:C30"/>
    <mergeCell ref="BC22:BE22"/>
    <mergeCell ref="A32:C32"/>
    <mergeCell ref="A20:C23"/>
    <mergeCell ref="CO22:CP22"/>
    <mergeCell ref="BZ22:CB22"/>
    <mergeCell ref="BW22:BY22"/>
    <mergeCell ref="BT22:BU22"/>
    <mergeCell ref="BL21:BN21"/>
    <mergeCell ref="W21:Z21"/>
    <mergeCell ref="AA21:AD21"/>
    <mergeCell ref="AU21:AZ21"/>
    <mergeCell ref="P20:S20"/>
    <mergeCell ref="P21:Q21"/>
    <mergeCell ref="U138:U144"/>
    <mergeCell ref="B128:H128"/>
    <mergeCell ref="R138:R144"/>
    <mergeCell ref="B130:H130"/>
    <mergeCell ref="B129:H129"/>
    <mergeCell ref="S138:S144"/>
    <mergeCell ref="B131:H131"/>
    <mergeCell ref="T138:T144"/>
    <mergeCell ref="G115:H115"/>
    <mergeCell ref="C122:H122"/>
    <mergeCell ref="C119:D119"/>
    <mergeCell ref="C116:D116"/>
    <mergeCell ref="C125:H125"/>
    <mergeCell ref="C123:H123"/>
    <mergeCell ref="C124:H124"/>
    <mergeCell ref="A125:B125"/>
    <mergeCell ref="C120:D120"/>
    <mergeCell ref="A123:B123"/>
    <mergeCell ref="A122:B122"/>
    <mergeCell ref="C137:H137"/>
    <mergeCell ref="B127:H127"/>
    <mergeCell ref="C117:D117"/>
    <mergeCell ref="C118:D118"/>
    <mergeCell ref="A119:B119"/>
    <mergeCell ref="AQ138:AQ144"/>
    <mergeCell ref="AH138:AH144"/>
    <mergeCell ref="AI138:AI144"/>
    <mergeCell ref="AJ138:AJ144"/>
    <mergeCell ref="AK138:AK144"/>
    <mergeCell ref="X138:X144"/>
    <mergeCell ref="Z138:Z144"/>
    <mergeCell ref="AN138:AN144"/>
    <mergeCell ref="AP138:AP144"/>
    <mergeCell ref="AM138:AM144"/>
    <mergeCell ref="AL138:AL144"/>
  </mergeCells>
  <phoneticPr fontId="0" type="noConversion"/>
  <dataValidations count="19">
    <dataValidation type="decimal" allowBlank="1" showInputMessage="1" showErrorMessage="1" errorTitle="Ungültige Eingabe" error="Geben Sie eine Dezimalzahl ein." sqref="I122:J125 G43:G45" xr:uid="{00000000-0002-0000-0000-000000000000}">
      <formula1>0</formula1>
      <formula2>99999</formula2>
    </dataValidation>
    <dataValidation type="whole" allowBlank="1" showInputMessage="1" showErrorMessage="1" errorTitle="Ungültige Eingabe" error="Geben Sie eine ganze Zahl ein." sqref="G46" xr:uid="{00000000-0002-0000-0000-000001000000}">
      <formula1>0</formula1>
      <formula2>99</formula2>
    </dataValidation>
    <dataValidation type="decimal" allowBlank="1" showInputMessage="1" showErrorMessage="1" errorTitle="Ungültige Dateneingabe" error="Geben Sie eine Zahl ein." sqref="F5:F6 G7 F8 M11 G9:G10" xr:uid="{00000000-0002-0000-0000-000002000000}">
      <formula1>0</formula1>
      <formula2>9999</formula2>
    </dataValidation>
    <dataValidation type="textLength" allowBlank="1" showInputMessage="1" showErrorMessage="1" errorTitle="Ungültige Dateneingabe" error="Geben Sie eine gültige Betriebsnummer ein." sqref="B5" xr:uid="{00000000-0002-0000-0000-000003000000}">
      <formula1>10</formula1>
      <formula2>12</formula2>
    </dataValidation>
    <dataValidation type="whole" allowBlank="1" showInputMessage="1" showErrorMessage="1" errorTitle="Ungültige Dateneingabe" error="Geben Sie eine ganze Zahl zwischen 2000 und 15000 ein." sqref="B13" xr:uid="{00000000-0002-0000-0000-000004000000}">
      <formula1>2000</formula1>
      <formula2>15000</formula2>
    </dataValidation>
    <dataValidation type="whole" allowBlank="1" showInputMessage="1" showErrorMessage="1" errorTitle="Ungültige Dateineingabe" error="Geben Sie eine ganze Zahl zwischen 300 und 2500 ein." sqref="B14" xr:uid="{00000000-0002-0000-0000-000005000000}">
      <formula1>300</formula1>
      <formula2>2500</formula2>
    </dataValidation>
    <dataValidation allowBlank="1" showInputMessage="1" showErrorMessage="1" errorTitle="Ungültige Eingabe" error="Geben Sie eine Dezimalzahl ein." sqref="E115:F116 G116 I47:I48" xr:uid="{00000000-0002-0000-0000-000006000000}"/>
    <dataValidation type="decimal" allowBlank="1" showErrorMessage="1" errorTitle="Ungültige Eingabe" error="Geben Sie eine Dezimalzahl &lt; 100 ein." sqref="E117:H120 C117:C120" xr:uid="{00000000-0002-0000-0000-000007000000}">
      <formula1>0</formula1>
      <formula2>99</formula2>
    </dataValidation>
    <dataValidation type="decimal" allowBlank="1" showInputMessage="1" showErrorMessage="1" errorTitle="Ungültige Eingabe" error="Geben Sie eine Dezimalzahl &lt; 100 ein." sqref="G111:H114 E111:E114" xr:uid="{00000000-0002-0000-0000-000008000000}">
      <formula1>0</formula1>
      <formula2>99</formula2>
    </dataValidation>
    <dataValidation type="decimal" allowBlank="1" showInputMessage="1" showErrorMessage="1" sqref="M13" xr:uid="{00000000-0002-0000-0000-00000A000000}">
      <formula1>0</formula1>
      <formula2>100</formula2>
    </dataValidation>
    <dataValidation type="decimal" allowBlank="1" showInputMessage="1" showErrorMessage="1" errorTitle="Ungültige Eingabe" error="Geben Sie in dieses Feld eine ganze Zahl ein." sqref="U25:V41 F39:F41 F25:F36" xr:uid="{00000000-0002-0000-0000-00000B000000}">
      <formula1>0</formula1>
      <formula2>1000000</formula2>
    </dataValidation>
    <dataValidation type="whole" allowBlank="1" showInputMessage="1" showErrorMessage="1" errorTitle="Ungültige Eingabe" error="Geben Sie in dieses Feld eine ganze Zahl ein." sqref="G25:H36" xr:uid="{00000000-0002-0000-0000-00000C000000}">
      <formula1>0</formula1>
      <formula2>100</formula2>
    </dataValidation>
    <dataValidation type="decimal" operator="greaterThanOrEqual" allowBlank="1" showInputMessage="1" showErrorMessage="1" errorTitle="Falsche Eingabe" error="Geben sie eine positve Zahl ein." sqref="D39:E41 D25:E36" xr:uid="{00000000-0002-0000-0000-00000D000000}">
      <formula1>0</formula1>
    </dataValidation>
    <dataValidation type="decimal" allowBlank="1" showInputMessage="1" showErrorMessage="1" errorTitle="Ungültige Eingabe" error="Geben Sie in dieses Feld eine ganze Zahl ein." sqref="G39:H41" xr:uid="{00000000-0002-0000-0000-00000E000000}">
      <formula1>0</formula1>
      <formula2>100</formula2>
    </dataValidation>
    <dataValidation type="decimal" allowBlank="1" showInputMessage="1" showErrorMessage="1" error="Geben sie eine Dezimalzahl ein." sqref="D65" xr:uid="{00000000-0002-0000-0000-00000F000000}">
      <formula1>0</formula1>
      <formula2>100</formula2>
    </dataValidation>
    <dataValidation type="decimal" allowBlank="1" showInputMessage="1" showErrorMessage="1" error="Geben sie eine Dezimalzahl ein._x000a_Der Wert muss kleiner als der TS-Gehalt, des zur Separierung vorgesehenen flüssigen Wirtschaftdüngers sein." sqref="F79" xr:uid="{00000000-0002-0000-0000-000010000000}">
      <formula1>0</formula1>
      <formula2>N52</formula2>
    </dataValidation>
    <dataValidation type="decimal" allowBlank="1" showInputMessage="1" showErrorMessage="1" errorTitle="ungültige Eingabe" error="Geben Sie eine Dezimalzahl ein." sqref="G47:G48" xr:uid="{00000000-0002-0000-0000-000012000000}">
      <formula1>0</formula1>
      <formula2>99999</formula2>
    </dataValidation>
    <dataValidation type="decimal" operator="greaterThanOrEqual" allowBlank="1" showInputMessage="1" showErrorMessage="1" error="Geben sie eine Dezimalzahl ein._x000a_Der Wert muss größer als der TS-Gehalt, des zur Separierung vorgesehenen flüssigen Wirtschaftdüngers sein." sqref="J79" xr:uid="{00000000-0002-0000-0000-000011000000}">
      <formula1>N61</formula1>
    </dataValidation>
    <dataValidation type="decimal" allowBlank="1" showInputMessage="1" showErrorMessage="1" errorTitle="Ungültige Eingabe" error="Geben Sie eine negative Zahl ein." prompt="Die Mengen Verpachtung müssen mit &quot;minus&quot; eingegeben werden!" sqref="I128:J131" xr:uid="{458AB54D-3E32-4204-9566-FB39AFEF105A}">
      <formula1>-999999</formula1>
      <formula2>0</formula2>
    </dataValidation>
  </dataValidations>
  <pageMargins left="0.39370078740157483" right="0.39370078740157483" top="0.59055118110236227" bottom="0.59055118110236227" header="0.31496062992125984" footer="0.31496062992125984"/>
  <pageSetup paperSize="9" orientation="portrait" r:id="rId2"/>
  <headerFooter alignWithMargins="0">
    <oddFooter>&amp;C&amp;P von &amp;N</oddFooter>
  </headerFooter>
  <rowBreaks count="2" manualBreakCount="2">
    <brk id="55" max="10" man="1"/>
    <brk id="104"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2055" r:id="rId5" name="Drop Down 7">
              <controlPr defaultSize="0" autoLine="0" autoPict="0">
                <anchor moveWithCells="1">
                  <from>
                    <xdr:col>0</xdr:col>
                    <xdr:colOff>22860</xdr:colOff>
                    <xdr:row>24</xdr:row>
                    <xdr:rowOff>190500</xdr:rowOff>
                  </from>
                  <to>
                    <xdr:col>2</xdr:col>
                    <xdr:colOff>845820</xdr:colOff>
                    <xdr:row>25</xdr:row>
                    <xdr:rowOff>190500</xdr:rowOff>
                  </to>
                </anchor>
              </controlPr>
            </control>
          </mc:Choice>
        </mc:AlternateContent>
        <mc:AlternateContent xmlns:mc="http://schemas.openxmlformats.org/markup-compatibility/2006">
          <mc:Choice Requires="x14">
            <control shapeId="2058" r:id="rId6" name="Drop Down 10">
              <controlPr defaultSize="0" autoLine="0" autoPict="0">
                <anchor moveWithCells="1">
                  <from>
                    <xdr:col>0</xdr:col>
                    <xdr:colOff>22860</xdr:colOff>
                    <xdr:row>25</xdr:row>
                    <xdr:rowOff>182880</xdr:rowOff>
                  </from>
                  <to>
                    <xdr:col>2</xdr:col>
                    <xdr:colOff>845820</xdr:colOff>
                    <xdr:row>26</xdr:row>
                    <xdr:rowOff>182880</xdr:rowOff>
                  </to>
                </anchor>
              </controlPr>
            </control>
          </mc:Choice>
        </mc:AlternateContent>
        <mc:AlternateContent xmlns:mc="http://schemas.openxmlformats.org/markup-compatibility/2006">
          <mc:Choice Requires="x14">
            <control shapeId="2059" r:id="rId7" name="Drop Down 11">
              <controlPr defaultSize="0" autoLine="0" autoPict="0">
                <anchor moveWithCells="1">
                  <from>
                    <xdr:col>0</xdr:col>
                    <xdr:colOff>22860</xdr:colOff>
                    <xdr:row>26</xdr:row>
                    <xdr:rowOff>182880</xdr:rowOff>
                  </from>
                  <to>
                    <xdr:col>2</xdr:col>
                    <xdr:colOff>845820</xdr:colOff>
                    <xdr:row>27</xdr:row>
                    <xdr:rowOff>182880</xdr:rowOff>
                  </to>
                </anchor>
              </controlPr>
            </control>
          </mc:Choice>
        </mc:AlternateContent>
        <mc:AlternateContent xmlns:mc="http://schemas.openxmlformats.org/markup-compatibility/2006">
          <mc:Choice Requires="x14">
            <control shapeId="2060" r:id="rId8" name="Drop Down 12">
              <controlPr defaultSize="0" autoLine="0" autoPict="0">
                <anchor moveWithCells="1">
                  <from>
                    <xdr:col>0</xdr:col>
                    <xdr:colOff>22860</xdr:colOff>
                    <xdr:row>27</xdr:row>
                    <xdr:rowOff>182880</xdr:rowOff>
                  </from>
                  <to>
                    <xdr:col>2</xdr:col>
                    <xdr:colOff>845820</xdr:colOff>
                    <xdr:row>28</xdr:row>
                    <xdr:rowOff>182880</xdr:rowOff>
                  </to>
                </anchor>
              </controlPr>
            </control>
          </mc:Choice>
        </mc:AlternateContent>
        <mc:AlternateContent xmlns:mc="http://schemas.openxmlformats.org/markup-compatibility/2006">
          <mc:Choice Requires="x14">
            <control shapeId="2061" r:id="rId9" name="Drop Down 13">
              <controlPr defaultSize="0" autoLine="0" autoPict="0">
                <anchor moveWithCells="1">
                  <from>
                    <xdr:col>0</xdr:col>
                    <xdr:colOff>22860</xdr:colOff>
                    <xdr:row>28</xdr:row>
                    <xdr:rowOff>182880</xdr:rowOff>
                  </from>
                  <to>
                    <xdr:col>2</xdr:col>
                    <xdr:colOff>845820</xdr:colOff>
                    <xdr:row>29</xdr:row>
                    <xdr:rowOff>182880</xdr:rowOff>
                  </to>
                </anchor>
              </controlPr>
            </control>
          </mc:Choice>
        </mc:AlternateContent>
        <mc:AlternateContent xmlns:mc="http://schemas.openxmlformats.org/markup-compatibility/2006">
          <mc:Choice Requires="x14">
            <control shapeId="2062" r:id="rId10" name="Drop Down 14">
              <controlPr defaultSize="0" autoLine="0" autoPict="0">
                <anchor moveWithCells="1">
                  <from>
                    <xdr:col>0</xdr:col>
                    <xdr:colOff>22860</xdr:colOff>
                    <xdr:row>29</xdr:row>
                    <xdr:rowOff>182880</xdr:rowOff>
                  </from>
                  <to>
                    <xdr:col>2</xdr:col>
                    <xdr:colOff>845820</xdr:colOff>
                    <xdr:row>30</xdr:row>
                    <xdr:rowOff>182880</xdr:rowOff>
                  </to>
                </anchor>
              </controlPr>
            </control>
          </mc:Choice>
        </mc:AlternateContent>
        <mc:AlternateContent xmlns:mc="http://schemas.openxmlformats.org/markup-compatibility/2006">
          <mc:Choice Requires="x14">
            <control shapeId="2063" r:id="rId11" name="Drop Down 15">
              <controlPr defaultSize="0" autoLine="0" autoPict="0">
                <anchor moveWithCells="1">
                  <from>
                    <xdr:col>0</xdr:col>
                    <xdr:colOff>22860</xdr:colOff>
                    <xdr:row>30</xdr:row>
                    <xdr:rowOff>182880</xdr:rowOff>
                  </from>
                  <to>
                    <xdr:col>2</xdr:col>
                    <xdr:colOff>845820</xdr:colOff>
                    <xdr:row>31</xdr:row>
                    <xdr:rowOff>190500</xdr:rowOff>
                  </to>
                </anchor>
              </controlPr>
            </control>
          </mc:Choice>
        </mc:AlternateContent>
        <mc:AlternateContent xmlns:mc="http://schemas.openxmlformats.org/markup-compatibility/2006">
          <mc:Choice Requires="x14">
            <control shapeId="2064" r:id="rId12" name="Drop Down 16">
              <controlPr defaultSize="0" autoLine="0" autoPict="0">
                <anchor moveWithCells="1">
                  <from>
                    <xdr:col>0</xdr:col>
                    <xdr:colOff>22860</xdr:colOff>
                    <xdr:row>31</xdr:row>
                    <xdr:rowOff>190500</xdr:rowOff>
                  </from>
                  <to>
                    <xdr:col>2</xdr:col>
                    <xdr:colOff>845820</xdr:colOff>
                    <xdr:row>32</xdr:row>
                    <xdr:rowOff>190500</xdr:rowOff>
                  </to>
                </anchor>
              </controlPr>
            </control>
          </mc:Choice>
        </mc:AlternateContent>
        <mc:AlternateContent xmlns:mc="http://schemas.openxmlformats.org/markup-compatibility/2006">
          <mc:Choice Requires="x14">
            <control shapeId="2065" r:id="rId13" name="Drop Down 17">
              <controlPr defaultSize="0" autoLine="0" autoPict="0">
                <anchor moveWithCells="1">
                  <from>
                    <xdr:col>0</xdr:col>
                    <xdr:colOff>22860</xdr:colOff>
                    <xdr:row>32</xdr:row>
                    <xdr:rowOff>190500</xdr:rowOff>
                  </from>
                  <to>
                    <xdr:col>2</xdr:col>
                    <xdr:colOff>845820</xdr:colOff>
                    <xdr:row>33</xdr:row>
                    <xdr:rowOff>190500</xdr:rowOff>
                  </to>
                </anchor>
              </controlPr>
            </control>
          </mc:Choice>
        </mc:AlternateContent>
        <mc:AlternateContent xmlns:mc="http://schemas.openxmlformats.org/markup-compatibility/2006">
          <mc:Choice Requires="x14">
            <control shapeId="2081" r:id="rId14" name="Drop Down 33">
              <controlPr defaultSize="0" autoLine="0" autoPict="0">
                <anchor moveWithCells="1">
                  <from>
                    <xdr:col>0</xdr:col>
                    <xdr:colOff>22860</xdr:colOff>
                    <xdr:row>33</xdr:row>
                    <xdr:rowOff>190500</xdr:rowOff>
                  </from>
                  <to>
                    <xdr:col>2</xdr:col>
                    <xdr:colOff>845820</xdr:colOff>
                    <xdr:row>34</xdr:row>
                    <xdr:rowOff>190500</xdr:rowOff>
                  </to>
                </anchor>
              </controlPr>
            </control>
          </mc:Choice>
        </mc:AlternateContent>
        <mc:AlternateContent xmlns:mc="http://schemas.openxmlformats.org/markup-compatibility/2006">
          <mc:Choice Requires="x14">
            <control shapeId="2082" r:id="rId15" name="Drop Down 34">
              <controlPr defaultSize="0" autoLine="0" autoPict="0">
                <anchor moveWithCells="1">
                  <from>
                    <xdr:col>0</xdr:col>
                    <xdr:colOff>22860</xdr:colOff>
                    <xdr:row>34</xdr:row>
                    <xdr:rowOff>190500</xdr:rowOff>
                  </from>
                  <to>
                    <xdr:col>2</xdr:col>
                    <xdr:colOff>845820</xdr:colOff>
                    <xdr:row>35</xdr:row>
                    <xdr:rowOff>190500</xdr:rowOff>
                  </to>
                </anchor>
              </controlPr>
            </control>
          </mc:Choice>
        </mc:AlternateContent>
        <mc:AlternateContent xmlns:mc="http://schemas.openxmlformats.org/markup-compatibility/2006">
          <mc:Choice Requires="x14">
            <control shapeId="2208" r:id="rId16" name="Drop Down 160">
              <controlPr defaultSize="0" autoLine="0" autoPict="0">
                <anchor moveWithCells="1">
                  <from>
                    <xdr:col>5</xdr:col>
                    <xdr:colOff>22860</xdr:colOff>
                    <xdr:row>23</xdr:row>
                    <xdr:rowOff>22860</xdr:rowOff>
                  </from>
                  <to>
                    <xdr:col>5</xdr:col>
                    <xdr:colOff>495300</xdr:colOff>
                    <xdr:row>24</xdr:row>
                    <xdr:rowOff>175260</xdr:rowOff>
                  </to>
                </anchor>
              </controlPr>
            </control>
          </mc:Choice>
        </mc:AlternateContent>
        <mc:AlternateContent xmlns:mc="http://schemas.openxmlformats.org/markup-compatibility/2006">
          <mc:Choice Requires="x14">
            <control shapeId="2250" r:id="rId17" name="Drop Down 202">
              <controlPr defaultSize="0" autoLine="0" autoPict="0">
                <anchor moveWithCells="1">
                  <from>
                    <xdr:col>0</xdr:col>
                    <xdr:colOff>22860</xdr:colOff>
                    <xdr:row>23</xdr:row>
                    <xdr:rowOff>7620</xdr:rowOff>
                  </from>
                  <to>
                    <xdr:col>2</xdr:col>
                    <xdr:colOff>845820</xdr:colOff>
                    <xdr:row>24</xdr:row>
                    <xdr:rowOff>190500</xdr:rowOff>
                  </to>
                </anchor>
              </controlPr>
            </control>
          </mc:Choice>
        </mc:AlternateContent>
        <mc:AlternateContent xmlns:mc="http://schemas.openxmlformats.org/markup-compatibility/2006">
          <mc:Choice Requires="x14">
            <control shapeId="2261" r:id="rId18" name="Drop Down 213">
              <controlPr defaultSize="0" autoLine="0" autoPict="0">
                <anchor moveWithCells="1">
                  <from>
                    <xdr:col>5</xdr:col>
                    <xdr:colOff>22860</xdr:colOff>
                    <xdr:row>24</xdr:row>
                    <xdr:rowOff>190500</xdr:rowOff>
                  </from>
                  <to>
                    <xdr:col>5</xdr:col>
                    <xdr:colOff>495300</xdr:colOff>
                    <xdr:row>25</xdr:row>
                    <xdr:rowOff>175260</xdr:rowOff>
                  </to>
                </anchor>
              </controlPr>
            </control>
          </mc:Choice>
        </mc:AlternateContent>
        <mc:AlternateContent xmlns:mc="http://schemas.openxmlformats.org/markup-compatibility/2006">
          <mc:Choice Requires="x14">
            <control shapeId="2262" r:id="rId19" name="Drop Down 214">
              <controlPr defaultSize="0" autoLine="0" autoPict="0">
                <anchor moveWithCells="1">
                  <from>
                    <xdr:col>5</xdr:col>
                    <xdr:colOff>22860</xdr:colOff>
                    <xdr:row>25</xdr:row>
                    <xdr:rowOff>190500</xdr:rowOff>
                  </from>
                  <to>
                    <xdr:col>5</xdr:col>
                    <xdr:colOff>495300</xdr:colOff>
                    <xdr:row>26</xdr:row>
                    <xdr:rowOff>175260</xdr:rowOff>
                  </to>
                </anchor>
              </controlPr>
            </control>
          </mc:Choice>
        </mc:AlternateContent>
        <mc:AlternateContent xmlns:mc="http://schemas.openxmlformats.org/markup-compatibility/2006">
          <mc:Choice Requires="x14">
            <control shapeId="2263" r:id="rId20" name="Drop Down 215">
              <controlPr defaultSize="0" autoLine="0" autoPict="0">
                <anchor moveWithCells="1">
                  <from>
                    <xdr:col>5</xdr:col>
                    <xdr:colOff>22860</xdr:colOff>
                    <xdr:row>26</xdr:row>
                    <xdr:rowOff>190500</xdr:rowOff>
                  </from>
                  <to>
                    <xdr:col>5</xdr:col>
                    <xdr:colOff>495300</xdr:colOff>
                    <xdr:row>27</xdr:row>
                    <xdr:rowOff>175260</xdr:rowOff>
                  </to>
                </anchor>
              </controlPr>
            </control>
          </mc:Choice>
        </mc:AlternateContent>
        <mc:AlternateContent xmlns:mc="http://schemas.openxmlformats.org/markup-compatibility/2006">
          <mc:Choice Requires="x14">
            <control shapeId="2264" r:id="rId21" name="Drop Down 216">
              <controlPr defaultSize="0" autoLine="0" autoPict="0">
                <anchor moveWithCells="1">
                  <from>
                    <xdr:col>5</xdr:col>
                    <xdr:colOff>22860</xdr:colOff>
                    <xdr:row>27</xdr:row>
                    <xdr:rowOff>190500</xdr:rowOff>
                  </from>
                  <to>
                    <xdr:col>5</xdr:col>
                    <xdr:colOff>495300</xdr:colOff>
                    <xdr:row>28</xdr:row>
                    <xdr:rowOff>175260</xdr:rowOff>
                  </to>
                </anchor>
              </controlPr>
            </control>
          </mc:Choice>
        </mc:AlternateContent>
        <mc:AlternateContent xmlns:mc="http://schemas.openxmlformats.org/markup-compatibility/2006">
          <mc:Choice Requires="x14">
            <control shapeId="2265" r:id="rId22" name="Drop Down 217">
              <controlPr defaultSize="0" autoLine="0" autoPict="0">
                <anchor moveWithCells="1">
                  <from>
                    <xdr:col>5</xdr:col>
                    <xdr:colOff>22860</xdr:colOff>
                    <xdr:row>28</xdr:row>
                    <xdr:rowOff>190500</xdr:rowOff>
                  </from>
                  <to>
                    <xdr:col>5</xdr:col>
                    <xdr:colOff>495300</xdr:colOff>
                    <xdr:row>29</xdr:row>
                    <xdr:rowOff>175260</xdr:rowOff>
                  </to>
                </anchor>
              </controlPr>
            </control>
          </mc:Choice>
        </mc:AlternateContent>
        <mc:AlternateContent xmlns:mc="http://schemas.openxmlformats.org/markup-compatibility/2006">
          <mc:Choice Requires="x14">
            <control shapeId="2266" r:id="rId23" name="Drop Down 218">
              <controlPr defaultSize="0" autoLine="0" autoPict="0">
                <anchor moveWithCells="1">
                  <from>
                    <xdr:col>5</xdr:col>
                    <xdr:colOff>22860</xdr:colOff>
                    <xdr:row>29</xdr:row>
                    <xdr:rowOff>190500</xdr:rowOff>
                  </from>
                  <to>
                    <xdr:col>5</xdr:col>
                    <xdr:colOff>495300</xdr:colOff>
                    <xdr:row>30</xdr:row>
                    <xdr:rowOff>175260</xdr:rowOff>
                  </to>
                </anchor>
              </controlPr>
            </control>
          </mc:Choice>
        </mc:AlternateContent>
        <mc:AlternateContent xmlns:mc="http://schemas.openxmlformats.org/markup-compatibility/2006">
          <mc:Choice Requires="x14">
            <control shapeId="2267" r:id="rId24" name="Drop Down 219">
              <controlPr defaultSize="0" autoLine="0" autoPict="0">
                <anchor moveWithCells="1">
                  <from>
                    <xdr:col>5</xdr:col>
                    <xdr:colOff>22860</xdr:colOff>
                    <xdr:row>30</xdr:row>
                    <xdr:rowOff>190500</xdr:rowOff>
                  </from>
                  <to>
                    <xdr:col>5</xdr:col>
                    <xdr:colOff>495300</xdr:colOff>
                    <xdr:row>31</xdr:row>
                    <xdr:rowOff>182880</xdr:rowOff>
                  </to>
                </anchor>
              </controlPr>
            </control>
          </mc:Choice>
        </mc:AlternateContent>
        <mc:AlternateContent xmlns:mc="http://schemas.openxmlformats.org/markup-compatibility/2006">
          <mc:Choice Requires="x14">
            <control shapeId="2268" r:id="rId25" name="Drop Down 220">
              <controlPr defaultSize="0" autoLine="0" autoPict="0">
                <anchor moveWithCells="1">
                  <from>
                    <xdr:col>5</xdr:col>
                    <xdr:colOff>22860</xdr:colOff>
                    <xdr:row>32</xdr:row>
                    <xdr:rowOff>0</xdr:rowOff>
                  </from>
                  <to>
                    <xdr:col>5</xdr:col>
                    <xdr:colOff>495300</xdr:colOff>
                    <xdr:row>32</xdr:row>
                    <xdr:rowOff>182880</xdr:rowOff>
                  </to>
                </anchor>
              </controlPr>
            </control>
          </mc:Choice>
        </mc:AlternateContent>
        <mc:AlternateContent xmlns:mc="http://schemas.openxmlformats.org/markup-compatibility/2006">
          <mc:Choice Requires="x14">
            <control shapeId="2269" r:id="rId26" name="Drop Down 221">
              <controlPr defaultSize="0" autoLine="0" autoPict="0">
                <anchor moveWithCells="1">
                  <from>
                    <xdr:col>5</xdr:col>
                    <xdr:colOff>22860</xdr:colOff>
                    <xdr:row>33</xdr:row>
                    <xdr:rowOff>7620</xdr:rowOff>
                  </from>
                  <to>
                    <xdr:col>5</xdr:col>
                    <xdr:colOff>495300</xdr:colOff>
                    <xdr:row>33</xdr:row>
                    <xdr:rowOff>190500</xdr:rowOff>
                  </to>
                </anchor>
              </controlPr>
            </control>
          </mc:Choice>
        </mc:AlternateContent>
        <mc:AlternateContent xmlns:mc="http://schemas.openxmlformats.org/markup-compatibility/2006">
          <mc:Choice Requires="x14">
            <control shapeId="2270" r:id="rId27" name="Drop Down 222">
              <controlPr defaultSize="0" autoLine="0" autoPict="0">
                <anchor moveWithCells="1">
                  <from>
                    <xdr:col>5</xdr:col>
                    <xdr:colOff>22860</xdr:colOff>
                    <xdr:row>34</xdr:row>
                    <xdr:rowOff>7620</xdr:rowOff>
                  </from>
                  <to>
                    <xdr:col>5</xdr:col>
                    <xdr:colOff>495300</xdr:colOff>
                    <xdr:row>34</xdr:row>
                    <xdr:rowOff>190500</xdr:rowOff>
                  </to>
                </anchor>
              </controlPr>
            </control>
          </mc:Choice>
        </mc:AlternateContent>
        <mc:AlternateContent xmlns:mc="http://schemas.openxmlformats.org/markup-compatibility/2006">
          <mc:Choice Requires="x14">
            <control shapeId="2271" r:id="rId28" name="Drop Down 223">
              <controlPr defaultSize="0" autoLine="0" autoPict="0">
                <anchor moveWithCells="1">
                  <from>
                    <xdr:col>5</xdr:col>
                    <xdr:colOff>22860</xdr:colOff>
                    <xdr:row>35</xdr:row>
                    <xdr:rowOff>7620</xdr:rowOff>
                  </from>
                  <to>
                    <xdr:col>5</xdr:col>
                    <xdr:colOff>495300</xdr:colOff>
                    <xdr:row>35</xdr:row>
                    <xdr:rowOff>190500</xdr:rowOff>
                  </to>
                </anchor>
              </controlPr>
            </control>
          </mc:Choice>
        </mc:AlternateContent>
        <mc:AlternateContent xmlns:mc="http://schemas.openxmlformats.org/markup-compatibility/2006">
          <mc:Choice Requires="x14">
            <control shapeId="2368" r:id="rId29" name="Drop Down 320">
              <controlPr defaultSize="0" autoLine="0" autoPict="0">
                <anchor moveWithCells="1">
                  <from>
                    <xdr:col>2</xdr:col>
                    <xdr:colOff>22860</xdr:colOff>
                    <xdr:row>116</xdr:row>
                    <xdr:rowOff>7620</xdr:rowOff>
                  </from>
                  <to>
                    <xdr:col>3</xdr:col>
                    <xdr:colOff>487680</xdr:colOff>
                    <xdr:row>116</xdr:row>
                    <xdr:rowOff>220980</xdr:rowOff>
                  </to>
                </anchor>
              </controlPr>
            </control>
          </mc:Choice>
        </mc:AlternateContent>
        <mc:AlternateContent xmlns:mc="http://schemas.openxmlformats.org/markup-compatibility/2006">
          <mc:Choice Requires="x14">
            <control shapeId="2370" r:id="rId30" name="Drop Down 322">
              <controlPr defaultSize="0" autoLine="0" autoPict="0">
                <anchor moveWithCells="1">
                  <from>
                    <xdr:col>2</xdr:col>
                    <xdr:colOff>22860</xdr:colOff>
                    <xdr:row>117</xdr:row>
                    <xdr:rowOff>22860</xdr:rowOff>
                  </from>
                  <to>
                    <xdr:col>3</xdr:col>
                    <xdr:colOff>487680</xdr:colOff>
                    <xdr:row>118</xdr:row>
                    <xdr:rowOff>0</xdr:rowOff>
                  </to>
                </anchor>
              </controlPr>
            </control>
          </mc:Choice>
        </mc:AlternateContent>
        <mc:AlternateContent xmlns:mc="http://schemas.openxmlformats.org/markup-compatibility/2006">
          <mc:Choice Requires="x14">
            <control shapeId="2371" r:id="rId31" name="Drop Down 323">
              <controlPr defaultSize="0" autoLine="0" autoPict="0">
                <anchor moveWithCells="1">
                  <from>
                    <xdr:col>2</xdr:col>
                    <xdr:colOff>22860</xdr:colOff>
                    <xdr:row>118</xdr:row>
                    <xdr:rowOff>22860</xdr:rowOff>
                  </from>
                  <to>
                    <xdr:col>3</xdr:col>
                    <xdr:colOff>487680</xdr:colOff>
                    <xdr:row>119</xdr:row>
                    <xdr:rowOff>0</xdr:rowOff>
                  </to>
                </anchor>
              </controlPr>
            </control>
          </mc:Choice>
        </mc:AlternateContent>
        <mc:AlternateContent xmlns:mc="http://schemas.openxmlformats.org/markup-compatibility/2006">
          <mc:Choice Requires="x14">
            <control shapeId="2372" r:id="rId32" name="Drop Down 324">
              <controlPr defaultSize="0" autoLine="0" autoPict="0">
                <anchor moveWithCells="1">
                  <from>
                    <xdr:col>2</xdr:col>
                    <xdr:colOff>22860</xdr:colOff>
                    <xdr:row>119</xdr:row>
                    <xdr:rowOff>22860</xdr:rowOff>
                  </from>
                  <to>
                    <xdr:col>3</xdr:col>
                    <xdr:colOff>487680</xdr:colOff>
                    <xdr:row>120</xdr:row>
                    <xdr:rowOff>0</xdr:rowOff>
                  </to>
                </anchor>
              </controlPr>
            </control>
          </mc:Choice>
        </mc:AlternateContent>
        <mc:AlternateContent xmlns:mc="http://schemas.openxmlformats.org/markup-compatibility/2006">
          <mc:Choice Requires="x14">
            <control shapeId="101736" r:id="rId33" name="Drop Down 6504">
              <controlPr defaultSize="0" autoLine="0" autoPict="0">
                <anchor moveWithCells="1">
                  <from>
                    <xdr:col>2</xdr:col>
                    <xdr:colOff>845820</xdr:colOff>
                    <xdr:row>4</xdr:row>
                    <xdr:rowOff>0</xdr:rowOff>
                  </from>
                  <to>
                    <xdr:col>4</xdr:col>
                    <xdr:colOff>60960</xdr:colOff>
                    <xdr:row>4</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D33"/>
  <sheetViews>
    <sheetView zoomScaleNormal="100" workbookViewId="0">
      <selection activeCell="B7" sqref="B7"/>
    </sheetView>
  </sheetViews>
  <sheetFormatPr baseColWidth="10" defaultRowHeight="15.75" customHeight="1" x14ac:dyDescent="0.25"/>
  <cols>
    <col min="1" max="1" width="14.6640625" customWidth="1"/>
    <col min="2" max="2" width="28.88671875" customWidth="1"/>
    <col min="3" max="3" width="5" customWidth="1"/>
    <col min="4" max="6" width="5.44140625" style="121" customWidth="1"/>
    <col min="7" max="8" width="7.6640625" customWidth="1"/>
    <col min="9" max="11" width="6.5546875" customWidth="1"/>
    <col min="12" max="14" width="7" style="121" customWidth="1"/>
    <col min="15" max="17" width="7" customWidth="1"/>
    <col min="18" max="18" width="11" customWidth="1"/>
    <col min="19" max="19" width="3.5546875" customWidth="1"/>
    <col min="20" max="25" width="11.44140625" style="530" hidden="1" customWidth="1"/>
    <col min="26" max="34" width="11.44140625" style="531" hidden="1" customWidth="1"/>
    <col min="35" max="63" width="11.44140625" customWidth="1"/>
  </cols>
  <sheetData>
    <row r="1" spans="1:56" ht="15.75" customHeight="1" x14ac:dyDescent="0.3">
      <c r="A1" s="1045" t="s">
        <v>244</v>
      </c>
      <c r="B1" s="1045"/>
      <c r="C1" s="1045"/>
      <c r="J1" s="310"/>
      <c r="K1" s="310"/>
      <c r="L1" s="311"/>
      <c r="M1" s="311"/>
    </row>
    <row r="2" spans="1:56" ht="75" customHeight="1" thickBot="1" x14ac:dyDescent="0.3">
      <c r="A2" s="124"/>
    </row>
    <row r="3" spans="1:56" s="125" customFormat="1" ht="15.75" customHeight="1" thickBot="1" x14ac:dyDescent="0.35">
      <c r="B3" s="124"/>
      <c r="C3" s="1046" t="s">
        <v>160</v>
      </c>
      <c r="D3" s="1047"/>
      <c r="E3" s="1047"/>
      <c r="F3" s="1047"/>
      <c r="G3" s="1047"/>
      <c r="H3" s="1047"/>
      <c r="I3" s="1047"/>
      <c r="J3" s="1047"/>
      <c r="K3" s="1048"/>
      <c r="L3" s="175"/>
      <c r="M3" s="175"/>
      <c r="N3" s="175"/>
      <c r="O3" s="126"/>
      <c r="P3" s="126"/>
      <c r="Q3" s="126"/>
      <c r="T3" s="532"/>
      <c r="U3" s="532"/>
      <c r="V3" s="532"/>
      <c r="W3" s="532"/>
      <c r="X3" s="532"/>
      <c r="Y3" s="532"/>
      <c r="Z3" s="533"/>
      <c r="AA3" s="533"/>
      <c r="AB3" s="533"/>
      <c r="AC3" s="533"/>
      <c r="AD3" s="533"/>
      <c r="AE3" s="533"/>
      <c r="AF3" s="533"/>
      <c r="AG3" s="533"/>
      <c r="AH3" s="533"/>
    </row>
    <row r="4" spans="1:56" ht="15.75" customHeight="1" thickBot="1" x14ac:dyDescent="0.3">
      <c r="A4" s="156"/>
      <c r="B4" s="156"/>
      <c r="C4" s="157"/>
      <c r="D4" s="1036" t="s">
        <v>151</v>
      </c>
      <c r="E4" s="1037"/>
      <c r="F4" s="1038"/>
      <c r="G4" s="1033" t="s">
        <v>136</v>
      </c>
      <c r="H4" s="1035"/>
      <c r="I4" s="1034" t="s">
        <v>152</v>
      </c>
      <c r="J4" s="1034"/>
      <c r="K4" s="1035"/>
      <c r="L4" s="1033" t="s">
        <v>245</v>
      </c>
      <c r="M4" s="1034"/>
      <c r="N4" s="1035"/>
      <c r="O4" s="1033" t="s">
        <v>104</v>
      </c>
      <c r="P4" s="1034"/>
      <c r="Q4" s="1035"/>
      <c r="R4" s="157" t="s">
        <v>214</v>
      </c>
    </row>
    <row r="5" spans="1:56" ht="15.75" customHeight="1" thickBot="1" x14ac:dyDescent="0.4">
      <c r="A5" s="312" t="s">
        <v>146</v>
      </c>
      <c r="B5" s="313" t="s">
        <v>150</v>
      </c>
      <c r="C5" s="167" t="s">
        <v>96</v>
      </c>
      <c r="D5" s="158" t="s">
        <v>4</v>
      </c>
      <c r="E5" s="286" t="s">
        <v>120</v>
      </c>
      <c r="F5" s="160" t="s">
        <v>121</v>
      </c>
      <c r="G5" s="158" t="s">
        <v>0</v>
      </c>
      <c r="H5" s="285" t="s">
        <v>10</v>
      </c>
      <c r="I5" s="158" t="s">
        <v>43</v>
      </c>
      <c r="J5" s="286" t="s">
        <v>44</v>
      </c>
      <c r="K5" s="160" t="s">
        <v>45</v>
      </c>
      <c r="L5" s="159" t="s">
        <v>0</v>
      </c>
      <c r="M5" s="286" t="s">
        <v>10</v>
      </c>
      <c r="N5" s="159" t="s">
        <v>12</v>
      </c>
      <c r="O5" s="165" t="s">
        <v>43</v>
      </c>
      <c r="P5" s="166" t="s">
        <v>44</v>
      </c>
      <c r="Q5" s="160" t="s">
        <v>45</v>
      </c>
      <c r="R5" s="161" t="s">
        <v>12</v>
      </c>
    </row>
    <row r="6" spans="1:56" ht="15.75" customHeight="1" thickBot="1" x14ac:dyDescent="0.3">
      <c r="A6" s="144"/>
      <c r="B6" s="144"/>
      <c r="C6" s="144"/>
      <c r="D6" s="1044" t="s">
        <v>161</v>
      </c>
      <c r="E6" s="1040"/>
      <c r="F6" s="1041"/>
      <c r="G6" s="1044" t="s">
        <v>1</v>
      </c>
      <c r="H6" s="1041"/>
      <c r="I6" s="1044" t="s">
        <v>46</v>
      </c>
      <c r="J6" s="1040"/>
      <c r="K6" s="1040"/>
      <c r="L6" s="1042" t="s">
        <v>2</v>
      </c>
      <c r="M6" s="1039"/>
      <c r="N6" s="1043"/>
      <c r="O6" s="1039" t="s">
        <v>205</v>
      </c>
      <c r="P6" s="1040"/>
      <c r="Q6" s="1041"/>
      <c r="R6" s="145" t="s">
        <v>230</v>
      </c>
      <c r="T6" s="534" t="s">
        <v>146</v>
      </c>
    </row>
    <row r="7" spans="1:56" ht="15.75" customHeight="1" x14ac:dyDescent="0.25">
      <c r="A7" s="146"/>
      <c r="B7" s="282"/>
      <c r="C7" s="316"/>
      <c r="D7" s="317"/>
      <c r="E7" s="318"/>
      <c r="F7" s="317"/>
      <c r="G7" s="319"/>
      <c r="H7" s="320"/>
      <c r="I7" s="321"/>
      <c r="J7" s="322"/>
      <c r="K7" s="321"/>
      <c r="L7" s="319"/>
      <c r="M7" s="322"/>
      <c r="N7" s="323"/>
      <c r="O7" s="321"/>
      <c r="P7" s="322"/>
      <c r="Q7" s="321"/>
      <c r="R7" s="324"/>
      <c r="S7" s="314"/>
      <c r="T7" s="530">
        <v>1</v>
      </c>
      <c r="U7" s="530" t="str">
        <f>INDEX(Tiere!$D$91:$D$95,T7)</f>
        <v xml:space="preserve"> --</v>
      </c>
      <c r="V7" s="530" t="str">
        <f>+CONCATENATE(U7," - ",+B7)</f>
        <v xml:space="preserve"> -- - </v>
      </c>
    </row>
    <row r="8" spans="1:56" ht="15.75" customHeight="1" x14ac:dyDescent="0.25">
      <c r="A8" s="123"/>
      <c r="B8" s="283"/>
      <c r="C8" s="325"/>
      <c r="D8" s="326"/>
      <c r="E8" s="327"/>
      <c r="F8" s="326"/>
      <c r="G8" s="328"/>
      <c r="H8" s="329"/>
      <c r="I8" s="330"/>
      <c r="J8" s="331"/>
      <c r="K8" s="330"/>
      <c r="L8" s="328"/>
      <c r="M8" s="331"/>
      <c r="N8" s="332"/>
      <c r="O8" s="330"/>
      <c r="P8" s="331"/>
      <c r="Q8" s="330"/>
      <c r="R8" s="333"/>
      <c r="S8" s="23"/>
      <c r="T8" s="530">
        <v>1</v>
      </c>
      <c r="U8" s="530" t="str">
        <f>INDEX(Tiere!$D$91:$D$95,T8)</f>
        <v xml:space="preserve"> --</v>
      </c>
      <c r="V8" s="530" t="str">
        <f>+CONCATENATE(U8," - ",+B8)</f>
        <v xml:space="preserve"> -- - </v>
      </c>
      <c r="BD8" s="169"/>
    </row>
    <row r="9" spans="1:56" ht="15.75" customHeight="1" thickBot="1" x14ac:dyDescent="0.3">
      <c r="A9" s="122"/>
      <c r="B9" s="284"/>
      <c r="C9" s="334"/>
      <c r="D9" s="335"/>
      <c r="E9" s="336"/>
      <c r="F9" s="335"/>
      <c r="G9" s="337"/>
      <c r="H9" s="338"/>
      <c r="I9" s="339"/>
      <c r="J9" s="340"/>
      <c r="K9" s="339"/>
      <c r="L9" s="337"/>
      <c r="M9" s="340"/>
      <c r="N9" s="341"/>
      <c r="O9" s="339"/>
      <c r="P9" s="340"/>
      <c r="Q9" s="339"/>
      <c r="R9" s="342"/>
      <c r="S9" s="314"/>
      <c r="T9" s="530">
        <v>1</v>
      </c>
      <c r="U9" s="530" t="str">
        <f>INDEX(Tiere!$D$91:$D$95,T9)</f>
        <v xml:space="preserve"> --</v>
      </c>
      <c r="V9" s="530" t="str">
        <f>+CONCATENATE(U9," - ",+B9)</f>
        <v xml:space="preserve"> -- - </v>
      </c>
    </row>
    <row r="11" spans="1:56" ht="15.75" customHeight="1" x14ac:dyDescent="0.25">
      <c r="B11" s="46"/>
    </row>
    <row r="12" spans="1:56" ht="15.75" customHeight="1" x14ac:dyDescent="0.25">
      <c r="A12" s="46"/>
    </row>
    <row r="23" spans="10:10" ht="15.75" customHeight="1" x14ac:dyDescent="0.25">
      <c r="J23" s="46"/>
    </row>
    <row r="33" spans="1:10" ht="15.75" customHeight="1" x14ac:dyDescent="0.25">
      <c r="A33" s="992" t="s">
        <v>286</v>
      </c>
      <c r="B33" s="992"/>
      <c r="C33" s="992"/>
      <c r="D33" s="992"/>
      <c r="E33" s="992"/>
      <c r="F33" s="992"/>
      <c r="G33" s="992"/>
      <c r="H33" s="992"/>
      <c r="I33" s="992"/>
      <c r="J33" s="992"/>
    </row>
  </sheetData>
  <sheetProtection password="D512"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13">
    <mergeCell ref="A1:C1"/>
    <mergeCell ref="C3:K3"/>
    <mergeCell ref="A33:J33"/>
    <mergeCell ref="G6:H6"/>
    <mergeCell ref="I6:K6"/>
    <mergeCell ref="O4:Q4"/>
    <mergeCell ref="D4:F4"/>
    <mergeCell ref="G4:H4"/>
    <mergeCell ref="I4:K4"/>
    <mergeCell ref="O6:Q6"/>
    <mergeCell ref="L6:N6"/>
    <mergeCell ref="L4:N4"/>
    <mergeCell ref="D6:F6"/>
  </mergeCells>
  <dataValidations disablePrompts="1" count="1">
    <dataValidation type="decimal" allowBlank="1" showInputMessage="1" showErrorMessage="1" sqref="C7:R9" xr:uid="{00000000-0002-0000-0200-000000000000}">
      <formula1>0</formula1>
      <formula2>999999</formula2>
    </dataValidation>
  </dataValidations>
  <pageMargins left="0.7" right="0.7" top="0.75" bottom="0.75" header="0.3" footer="0.3"/>
  <pageSetup paperSize="9" scale="8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22860</xdr:colOff>
                    <xdr:row>6</xdr:row>
                    <xdr:rowOff>22860</xdr:rowOff>
                  </from>
                  <to>
                    <xdr:col>0</xdr:col>
                    <xdr:colOff>975360</xdr:colOff>
                    <xdr:row>6</xdr:row>
                    <xdr:rowOff>190500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22860</xdr:colOff>
                    <xdr:row>7</xdr:row>
                    <xdr:rowOff>22860</xdr:rowOff>
                  </from>
                  <to>
                    <xdr:col>0</xdr:col>
                    <xdr:colOff>975360</xdr:colOff>
                    <xdr:row>7</xdr:row>
                    <xdr:rowOff>190500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7620</xdr:colOff>
                    <xdr:row>8</xdr:row>
                    <xdr:rowOff>22860</xdr:rowOff>
                  </from>
                  <to>
                    <xdr:col>0</xdr:col>
                    <xdr:colOff>960120</xdr:colOff>
                    <xdr:row>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D98"/>
  <sheetViews>
    <sheetView zoomScale="80" zoomScaleNormal="80" workbookViewId="0">
      <pane ySplit="7" topLeftCell="A8" activePane="bottomLeft" state="frozen"/>
      <selection pane="bottomLeft" activeCell="M15" sqref="M15"/>
    </sheetView>
  </sheetViews>
  <sheetFormatPr baseColWidth="10" defaultColWidth="11.44140625" defaultRowHeight="13.2" x14ac:dyDescent="0.25"/>
  <cols>
    <col min="1" max="1" width="1" style="120" customWidth="1"/>
    <col min="2" max="2" width="49.6640625" style="120" customWidth="1"/>
    <col min="3" max="3" width="10.33203125" style="595" customWidth="1"/>
    <col min="4" max="4" width="7.109375" style="83" customWidth="1"/>
    <col min="5" max="6" width="5.6640625" style="83" customWidth="1"/>
    <col min="7" max="7" width="6.88671875" style="84" customWidth="1"/>
    <col min="8" max="8" width="7.33203125" style="83" customWidth="1"/>
    <col min="9" max="9" width="7.109375" style="83" customWidth="1"/>
    <col min="10" max="10" width="11" style="195" customWidth="1"/>
    <col min="11" max="11" width="11" style="83" customWidth="1"/>
    <col min="12" max="12" width="11.33203125" style="195" customWidth="1"/>
    <col min="13" max="14" width="10.6640625" style="195" customWidth="1"/>
    <col min="15" max="15" width="11.33203125" style="195" customWidth="1"/>
    <col min="16" max="17" width="11.33203125" style="83" customWidth="1"/>
    <col min="18" max="18" width="11.33203125" style="195" customWidth="1"/>
    <col min="19" max="21" width="11.33203125" style="83" customWidth="1"/>
    <col min="22" max="22" width="12.5546875" style="620" customWidth="1"/>
    <col min="23" max="25" width="11.44140625" style="621" customWidth="1"/>
    <col min="26" max="27" width="11.44140625" style="85" customWidth="1"/>
    <col min="28" max="16384" width="11.44140625" style="85"/>
  </cols>
  <sheetData>
    <row r="1" spans="1:30" x14ac:dyDescent="0.25">
      <c r="A1" s="586" t="s">
        <v>294</v>
      </c>
      <c r="B1" s="287"/>
      <c r="C1" s="587" t="s">
        <v>101</v>
      </c>
      <c r="E1" s="54"/>
      <c r="F1" s="57"/>
      <c r="H1" s="57"/>
      <c r="I1" s="57"/>
      <c r="J1" s="596"/>
      <c r="K1" s="57"/>
      <c r="L1" s="596"/>
      <c r="M1" s="596"/>
      <c r="N1" s="596"/>
      <c r="O1" s="596"/>
      <c r="P1" s="57"/>
      <c r="Q1" s="57"/>
      <c r="R1" s="596"/>
      <c r="S1" s="57"/>
      <c r="T1" s="57"/>
      <c r="U1" s="57"/>
    </row>
    <row r="2" spans="1:30" x14ac:dyDescent="0.25">
      <c r="A2" s="58"/>
      <c r="B2" s="53" t="s">
        <v>332</v>
      </c>
      <c r="C2" s="588"/>
      <c r="D2" s="57"/>
      <c r="E2" s="57"/>
      <c r="F2" s="57"/>
      <c r="G2" s="86"/>
      <c r="H2" s="57"/>
      <c r="I2" s="57"/>
      <c r="J2" s="596"/>
      <c r="K2" s="57"/>
      <c r="L2" s="834" t="s">
        <v>309</v>
      </c>
      <c r="M2" s="596"/>
      <c r="N2" s="596"/>
      <c r="O2" s="596"/>
      <c r="P2" s="57"/>
      <c r="Q2" s="57"/>
      <c r="R2" s="596"/>
      <c r="S2" s="57"/>
      <c r="T2" s="57"/>
      <c r="U2" s="57"/>
      <c r="V2" s="212" t="s">
        <v>230</v>
      </c>
    </row>
    <row r="3" spans="1:30" x14ac:dyDescent="0.25">
      <c r="A3" s="58"/>
      <c r="B3" s="287" t="s">
        <v>235</v>
      </c>
      <c r="C3" s="588"/>
      <c r="D3" s="57"/>
      <c r="E3" s="57"/>
      <c r="F3" s="57"/>
      <c r="G3" s="86"/>
      <c r="H3" s="57"/>
      <c r="I3" s="57"/>
      <c r="J3" s="596"/>
      <c r="K3" s="57"/>
      <c r="L3" s="596"/>
      <c r="M3" s="596"/>
      <c r="N3" s="596"/>
      <c r="O3" s="596"/>
      <c r="P3" s="57"/>
      <c r="Q3" s="57"/>
      <c r="R3" s="596"/>
      <c r="S3" s="57"/>
      <c r="T3" s="57"/>
      <c r="U3" s="57"/>
      <c r="V3" s="212"/>
    </row>
    <row r="4" spans="1:30" ht="13.8" thickBot="1" x14ac:dyDescent="0.3">
      <c r="A4" s="58"/>
      <c r="B4" s="53"/>
      <c r="C4" s="589"/>
      <c r="D4" s="57"/>
      <c r="E4" s="57"/>
      <c r="F4" s="57"/>
      <c r="G4" s="57"/>
      <c r="H4" s="57"/>
      <c r="I4" s="57"/>
      <c r="J4" s="596"/>
      <c r="K4" s="57"/>
      <c r="L4" s="596"/>
      <c r="M4" s="596"/>
      <c r="N4" s="596"/>
      <c r="O4" s="596"/>
      <c r="P4" s="57"/>
      <c r="Q4" s="57"/>
      <c r="R4" s="596"/>
      <c r="S4" s="57"/>
      <c r="T4" s="57"/>
      <c r="U4" s="57"/>
      <c r="V4" s="596"/>
    </row>
    <row r="5" spans="1:30" ht="15.6" x14ac:dyDescent="0.25">
      <c r="A5" s="59"/>
      <c r="B5" s="60"/>
      <c r="C5" s="590" t="s">
        <v>102</v>
      </c>
      <c r="D5" s="87" t="s">
        <v>3</v>
      </c>
      <c r="E5" s="61"/>
      <c r="F5" s="61"/>
      <c r="G5" s="1058" t="s">
        <v>103</v>
      </c>
      <c r="H5" s="1059"/>
      <c r="I5" s="1059"/>
      <c r="J5" s="1060"/>
      <c r="K5" s="171" t="s">
        <v>213</v>
      </c>
      <c r="L5" s="601" t="s">
        <v>104</v>
      </c>
      <c r="M5" s="1061" t="s">
        <v>105</v>
      </c>
      <c r="N5" s="1061"/>
      <c r="O5" s="1062"/>
      <c r="P5" s="171" t="s">
        <v>213</v>
      </c>
      <c r="Q5" s="88" t="s">
        <v>106</v>
      </c>
      <c r="R5" s="601" t="s">
        <v>107</v>
      </c>
      <c r="S5" s="171" t="s">
        <v>213</v>
      </c>
      <c r="T5" s="1058" t="s">
        <v>108</v>
      </c>
      <c r="U5" s="1060"/>
      <c r="V5" s="195" t="s">
        <v>163</v>
      </c>
      <c r="W5" s="1050" t="s">
        <v>193</v>
      </c>
      <c r="X5" s="1051"/>
      <c r="Y5" s="1052"/>
      <c r="Z5" s="85" t="s">
        <v>210</v>
      </c>
      <c r="AB5" s="1049" t="s">
        <v>265</v>
      </c>
      <c r="AC5" s="1049"/>
      <c r="AD5" s="1049"/>
    </row>
    <row r="6" spans="1:30" ht="15.6" x14ac:dyDescent="0.25">
      <c r="A6" s="72"/>
      <c r="B6" s="62" t="s">
        <v>55</v>
      </c>
      <c r="C6" s="591" t="s">
        <v>109</v>
      </c>
      <c r="D6" s="89" t="s">
        <v>110</v>
      </c>
      <c r="E6" s="63"/>
      <c r="F6" s="63"/>
      <c r="G6" s="1063" t="s">
        <v>111</v>
      </c>
      <c r="H6" s="1064"/>
      <c r="I6" s="1064"/>
      <c r="J6" s="1065"/>
      <c r="K6" s="172" t="s">
        <v>0</v>
      </c>
      <c r="L6" s="597" t="s">
        <v>43</v>
      </c>
      <c r="M6" s="1066" t="s">
        <v>111</v>
      </c>
      <c r="N6" s="1066"/>
      <c r="O6" s="1067"/>
      <c r="P6" s="842" t="s">
        <v>312</v>
      </c>
      <c r="Q6" s="90" t="s">
        <v>112</v>
      </c>
      <c r="R6" s="597" t="s">
        <v>112</v>
      </c>
      <c r="S6" s="172" t="s">
        <v>10</v>
      </c>
      <c r="T6" s="1063" t="s">
        <v>113</v>
      </c>
      <c r="U6" s="1065"/>
      <c r="V6" s="195" t="s">
        <v>12</v>
      </c>
      <c r="W6" s="1053" t="s">
        <v>194</v>
      </c>
      <c r="X6" s="1054"/>
      <c r="Y6" s="1055"/>
      <c r="Z6" s="85" t="s">
        <v>208</v>
      </c>
      <c r="AA6" s="85" t="s">
        <v>209</v>
      </c>
      <c r="AB6" s="85" t="s">
        <v>0</v>
      </c>
      <c r="AC6" s="147" t="s">
        <v>266</v>
      </c>
      <c r="AD6" s="147" t="s">
        <v>12</v>
      </c>
    </row>
    <row r="7" spans="1:30" ht="15.6" x14ac:dyDescent="0.25">
      <c r="A7" s="64"/>
      <c r="B7" s="55" t="s">
        <v>131</v>
      </c>
      <c r="C7" s="591" t="s">
        <v>114</v>
      </c>
      <c r="D7" s="89" t="s">
        <v>115</v>
      </c>
      <c r="E7" s="63"/>
      <c r="F7" s="63"/>
      <c r="G7" s="91"/>
      <c r="H7" s="92" t="s">
        <v>99</v>
      </c>
      <c r="I7" s="93"/>
      <c r="J7" s="597" t="s">
        <v>11</v>
      </c>
      <c r="K7" s="170" t="s">
        <v>114</v>
      </c>
      <c r="L7" s="602" t="s">
        <v>116</v>
      </c>
      <c r="M7" s="1056" t="s">
        <v>117</v>
      </c>
      <c r="N7" s="1056"/>
      <c r="O7" s="1057"/>
      <c r="P7" s="170" t="s">
        <v>114</v>
      </c>
      <c r="Q7" s="90" t="s">
        <v>118</v>
      </c>
      <c r="R7" s="597" t="s">
        <v>118</v>
      </c>
      <c r="S7" s="170"/>
      <c r="T7" s="82"/>
      <c r="U7" s="94" t="s">
        <v>119</v>
      </c>
      <c r="V7" s="195" t="s">
        <v>230</v>
      </c>
      <c r="W7" s="622"/>
      <c r="X7" s="623"/>
      <c r="Y7" s="624"/>
    </row>
    <row r="8" spans="1:30" ht="17.399999999999999" thickBot="1" x14ac:dyDescent="0.4">
      <c r="A8" s="65"/>
      <c r="B8" s="66"/>
      <c r="C8" s="592"/>
      <c r="D8" s="67" t="s">
        <v>4</v>
      </c>
      <c r="E8" s="95" t="s">
        <v>120</v>
      </c>
      <c r="F8" s="95" t="s">
        <v>121</v>
      </c>
      <c r="G8" s="96">
        <v>0.05</v>
      </c>
      <c r="H8" s="97">
        <v>7.4999999999999997E-2</v>
      </c>
      <c r="I8" s="98">
        <v>0.1</v>
      </c>
      <c r="J8" s="598" t="s">
        <v>122</v>
      </c>
      <c r="K8" s="99" t="s">
        <v>136</v>
      </c>
      <c r="L8" s="603" t="s">
        <v>123</v>
      </c>
      <c r="M8" s="611" t="s">
        <v>43</v>
      </c>
      <c r="N8" s="612" t="s">
        <v>44</v>
      </c>
      <c r="O8" s="613" t="s">
        <v>45</v>
      </c>
      <c r="P8" s="99" t="s">
        <v>136</v>
      </c>
      <c r="Q8" s="837" t="s">
        <v>311</v>
      </c>
      <c r="R8" s="603" t="s">
        <v>310</v>
      </c>
      <c r="S8" s="99"/>
      <c r="T8" s="100" t="s">
        <v>0</v>
      </c>
      <c r="U8" s="101" t="s">
        <v>10</v>
      </c>
      <c r="V8" s="195"/>
      <c r="W8" s="622"/>
      <c r="X8" s="623"/>
      <c r="Y8" s="624"/>
    </row>
    <row r="9" spans="1:30" x14ac:dyDescent="0.25">
      <c r="A9" s="69" t="s">
        <v>56</v>
      </c>
      <c r="B9" s="70"/>
      <c r="C9" s="593"/>
      <c r="D9" s="71"/>
      <c r="E9" s="102"/>
      <c r="F9" s="103"/>
      <c r="G9" s="104"/>
      <c r="H9" s="102"/>
      <c r="I9" s="103"/>
      <c r="J9" s="599"/>
      <c r="K9" s="118"/>
      <c r="L9" s="604"/>
      <c r="M9" s="614"/>
      <c r="N9" s="615"/>
      <c r="O9" s="616"/>
      <c r="P9" s="117"/>
      <c r="Q9" s="173"/>
      <c r="R9" s="593"/>
      <c r="S9" s="106"/>
      <c r="T9" s="106"/>
      <c r="U9" s="105"/>
      <c r="V9" s="212"/>
      <c r="W9" s="622"/>
      <c r="X9" s="623"/>
      <c r="Y9" s="624"/>
    </row>
    <row r="10" spans="1:30" ht="15.6" x14ac:dyDescent="0.25">
      <c r="A10" s="113"/>
      <c r="B10" s="114" t="s">
        <v>124</v>
      </c>
      <c r="C10" s="594"/>
      <c r="D10" s="108"/>
      <c r="E10" s="110" t="s">
        <v>98</v>
      </c>
      <c r="F10" s="111"/>
      <c r="G10" s="107"/>
      <c r="H10" s="115"/>
      <c r="I10" s="116"/>
      <c r="J10" s="600"/>
      <c r="K10" s="174"/>
      <c r="L10" s="605"/>
      <c r="M10" s="617"/>
      <c r="N10" s="618"/>
      <c r="O10" s="619"/>
      <c r="P10" s="174"/>
      <c r="Q10" s="111"/>
      <c r="R10" s="594"/>
      <c r="S10" s="174"/>
      <c r="T10" s="109"/>
      <c r="U10" s="112"/>
      <c r="V10" s="195"/>
      <c r="W10" s="622"/>
      <c r="X10" s="623"/>
      <c r="Y10" s="624"/>
    </row>
    <row r="11" spans="1:30" x14ac:dyDescent="0.25">
      <c r="A11" s="72"/>
      <c r="B11" s="68" t="s">
        <v>125</v>
      </c>
      <c r="C11" s="695">
        <v>0.4</v>
      </c>
      <c r="D11" s="705">
        <v>37</v>
      </c>
      <c r="E11" s="706">
        <v>11.5</v>
      </c>
      <c r="F11" s="706">
        <v>45.3</v>
      </c>
      <c r="G11" s="707">
        <v>12.48</v>
      </c>
      <c r="H11" s="708">
        <v>8.32</v>
      </c>
      <c r="I11" s="709">
        <v>6.24</v>
      </c>
      <c r="J11" s="694">
        <v>7.6</v>
      </c>
      <c r="K11" s="796">
        <v>8.2100000000000009</v>
      </c>
      <c r="L11" s="710">
        <v>2.16</v>
      </c>
      <c r="M11" s="711">
        <v>6.3</v>
      </c>
      <c r="N11" s="706">
        <v>7.48</v>
      </c>
      <c r="O11" s="712">
        <v>9.2100000000000009</v>
      </c>
      <c r="P11" s="838">
        <v>21.77</v>
      </c>
      <c r="Q11" s="836">
        <v>2.8</v>
      </c>
      <c r="R11" s="694">
        <v>2</v>
      </c>
      <c r="S11" s="625">
        <v>1.8</v>
      </c>
      <c r="T11" s="748">
        <v>15</v>
      </c>
      <c r="U11" s="749">
        <v>30</v>
      </c>
      <c r="V11" s="848"/>
      <c r="W11" s="710">
        <v>5.4</v>
      </c>
      <c r="X11" s="706">
        <v>6</v>
      </c>
      <c r="Y11" s="712">
        <v>11</v>
      </c>
    </row>
    <row r="12" spans="1:30" x14ac:dyDescent="0.25">
      <c r="A12" s="72"/>
      <c r="B12" s="68" t="s">
        <v>8</v>
      </c>
      <c r="C12" s="694">
        <v>0.7</v>
      </c>
      <c r="D12" s="705">
        <v>56</v>
      </c>
      <c r="E12" s="706">
        <v>18.8</v>
      </c>
      <c r="F12" s="706">
        <v>68</v>
      </c>
      <c r="G12" s="707">
        <v>18.87</v>
      </c>
      <c r="H12" s="708">
        <v>12.58</v>
      </c>
      <c r="I12" s="709">
        <v>9.44</v>
      </c>
      <c r="J12" s="694">
        <v>11.5</v>
      </c>
      <c r="K12" s="796">
        <v>8.1999999999999993</v>
      </c>
      <c r="L12" s="710">
        <v>3.78</v>
      </c>
      <c r="M12" s="711">
        <v>10</v>
      </c>
      <c r="N12" s="706">
        <v>11.53</v>
      </c>
      <c r="O12" s="712">
        <v>14.31</v>
      </c>
      <c r="P12" s="838">
        <v>23.48</v>
      </c>
      <c r="Q12" s="836">
        <v>4.3</v>
      </c>
      <c r="R12" s="694">
        <v>3</v>
      </c>
      <c r="S12" s="625">
        <v>1.8</v>
      </c>
      <c r="T12" s="748">
        <v>15</v>
      </c>
      <c r="U12" s="749">
        <v>30</v>
      </c>
      <c r="V12" s="848"/>
      <c r="W12" s="710">
        <v>5.4</v>
      </c>
      <c r="X12" s="706">
        <v>6</v>
      </c>
      <c r="Y12" s="712">
        <v>11</v>
      </c>
    </row>
    <row r="13" spans="1:30" x14ac:dyDescent="0.25">
      <c r="A13" s="72"/>
      <c r="B13" s="68" t="s">
        <v>9</v>
      </c>
      <c r="C13" s="694">
        <v>1</v>
      </c>
      <c r="D13" s="705">
        <v>64</v>
      </c>
      <c r="E13" s="706">
        <v>21.9</v>
      </c>
      <c r="F13" s="706">
        <v>76.900000000000006</v>
      </c>
      <c r="G13" s="707">
        <v>21.46</v>
      </c>
      <c r="H13" s="708">
        <v>14.31</v>
      </c>
      <c r="I13" s="709">
        <v>10.73</v>
      </c>
      <c r="J13" s="694">
        <v>13.1</v>
      </c>
      <c r="K13" s="796">
        <v>8.19</v>
      </c>
      <c r="L13" s="710">
        <v>5.4</v>
      </c>
      <c r="M13" s="711">
        <v>11.4</v>
      </c>
      <c r="N13" s="706">
        <v>13.59</v>
      </c>
      <c r="O13" s="712">
        <v>17.12</v>
      </c>
      <c r="P13" s="838">
        <v>26.44</v>
      </c>
      <c r="Q13" s="836">
        <v>4.8</v>
      </c>
      <c r="R13" s="694">
        <v>3.4</v>
      </c>
      <c r="S13" s="625">
        <v>1.8</v>
      </c>
      <c r="T13" s="748">
        <v>15</v>
      </c>
      <c r="U13" s="749">
        <v>30</v>
      </c>
      <c r="V13" s="848"/>
      <c r="W13" s="710">
        <v>5.4</v>
      </c>
      <c r="X13" s="706">
        <v>6</v>
      </c>
      <c r="Y13" s="712">
        <v>11</v>
      </c>
    </row>
    <row r="14" spans="1:30" x14ac:dyDescent="0.25">
      <c r="A14" s="72"/>
      <c r="B14" s="68" t="s">
        <v>126</v>
      </c>
      <c r="C14" s="694">
        <v>1</v>
      </c>
      <c r="D14" s="705">
        <v>100</v>
      </c>
      <c r="E14" s="713">
        <v>36</v>
      </c>
      <c r="F14" s="714">
        <v>104</v>
      </c>
      <c r="G14" s="707">
        <v>33.81</v>
      </c>
      <c r="H14" s="708">
        <v>22.54</v>
      </c>
      <c r="I14" s="709">
        <v>16.899999999999999</v>
      </c>
      <c r="J14" s="694">
        <v>19</v>
      </c>
      <c r="K14" s="796">
        <v>8.9</v>
      </c>
      <c r="L14" s="694">
        <v>4</v>
      </c>
      <c r="M14" s="711">
        <v>14.4</v>
      </c>
      <c r="N14" s="706">
        <v>18.190000000000001</v>
      </c>
      <c r="O14" s="712">
        <v>23.02</v>
      </c>
      <c r="P14" s="839">
        <v>22.35</v>
      </c>
      <c r="Q14" s="836">
        <v>7.3</v>
      </c>
      <c r="R14" s="694">
        <v>6</v>
      </c>
      <c r="S14" s="625">
        <v>1.8</v>
      </c>
      <c r="T14" s="748">
        <v>15</v>
      </c>
      <c r="U14" s="749">
        <v>30</v>
      </c>
      <c r="V14" s="848"/>
      <c r="W14" s="828">
        <v>4</v>
      </c>
      <c r="X14" s="829">
        <v>6</v>
      </c>
      <c r="Y14" s="830">
        <v>11</v>
      </c>
    </row>
    <row r="15" spans="1:30" x14ac:dyDescent="0.25">
      <c r="A15" s="72"/>
      <c r="B15" s="68" t="s">
        <v>127</v>
      </c>
      <c r="C15" s="694">
        <v>1</v>
      </c>
      <c r="D15" s="705">
        <v>115</v>
      </c>
      <c r="E15" s="713">
        <v>42</v>
      </c>
      <c r="F15" s="714">
        <v>116</v>
      </c>
      <c r="G15" s="707">
        <v>37.29</v>
      </c>
      <c r="H15" s="708">
        <v>24.86</v>
      </c>
      <c r="I15" s="709">
        <v>18.649999999999999</v>
      </c>
      <c r="J15" s="694">
        <v>20</v>
      </c>
      <c r="K15" s="796">
        <v>9.32</v>
      </c>
      <c r="L15" s="694">
        <v>4</v>
      </c>
      <c r="M15" s="711">
        <v>15</v>
      </c>
      <c r="N15" s="706">
        <v>18.989999999999998</v>
      </c>
      <c r="O15" s="712">
        <v>24.02</v>
      </c>
      <c r="P15" s="840">
        <v>22.14</v>
      </c>
      <c r="Q15" s="836">
        <v>8</v>
      </c>
      <c r="R15" s="694">
        <v>6.4</v>
      </c>
      <c r="S15" s="625">
        <v>1.8</v>
      </c>
      <c r="T15" s="748">
        <v>15</v>
      </c>
      <c r="U15" s="749">
        <v>30</v>
      </c>
      <c r="V15" s="848"/>
      <c r="W15" s="831">
        <v>4</v>
      </c>
      <c r="X15" s="832">
        <v>6</v>
      </c>
      <c r="Y15" s="833">
        <v>11</v>
      </c>
    </row>
    <row r="16" spans="1:30" x14ac:dyDescent="0.25">
      <c r="A16" s="72"/>
      <c r="B16" s="68" t="s">
        <v>128</v>
      </c>
      <c r="C16" s="694">
        <v>1</v>
      </c>
      <c r="D16" s="705">
        <v>133</v>
      </c>
      <c r="E16" s="715">
        <f>ROUND(20.5*2.291,2)</f>
        <v>46.97</v>
      </c>
      <c r="F16" s="714">
        <v>125</v>
      </c>
      <c r="G16" s="707">
        <v>39.28</v>
      </c>
      <c r="H16" s="708">
        <v>26.18</v>
      </c>
      <c r="I16" s="709">
        <v>19.64</v>
      </c>
      <c r="J16" s="694">
        <v>21</v>
      </c>
      <c r="K16" s="796">
        <v>9.35</v>
      </c>
      <c r="L16" s="694">
        <v>5</v>
      </c>
      <c r="M16" s="711">
        <v>16</v>
      </c>
      <c r="N16" s="706">
        <v>19.79</v>
      </c>
      <c r="O16" s="712">
        <v>25.02</v>
      </c>
      <c r="P16" s="840">
        <v>21.65</v>
      </c>
      <c r="Q16" s="836">
        <v>7.7</v>
      </c>
      <c r="R16" s="694">
        <v>6.8</v>
      </c>
      <c r="S16" s="625">
        <v>1.8</v>
      </c>
      <c r="T16" s="748">
        <v>15</v>
      </c>
      <c r="U16" s="749">
        <v>30</v>
      </c>
      <c r="V16" s="848"/>
      <c r="W16" s="831">
        <v>5</v>
      </c>
      <c r="X16" s="832">
        <v>6</v>
      </c>
      <c r="Y16" s="833">
        <v>11</v>
      </c>
    </row>
    <row r="17" spans="1:30" x14ac:dyDescent="0.25">
      <c r="A17" s="72"/>
      <c r="B17" s="68" t="s">
        <v>129</v>
      </c>
      <c r="C17" s="694">
        <v>1</v>
      </c>
      <c r="D17" s="705">
        <v>152</v>
      </c>
      <c r="E17" s="713">
        <v>52</v>
      </c>
      <c r="F17" s="714">
        <v>135</v>
      </c>
      <c r="G17" s="707">
        <v>45.35</v>
      </c>
      <c r="H17" s="708">
        <v>30.23</v>
      </c>
      <c r="I17" s="709">
        <v>22.67</v>
      </c>
      <c r="J17" s="694">
        <v>22</v>
      </c>
      <c r="K17" s="796">
        <v>10.31</v>
      </c>
      <c r="L17" s="694">
        <v>6</v>
      </c>
      <c r="M17" s="716">
        <v>17</v>
      </c>
      <c r="N17" s="706">
        <v>20.96</v>
      </c>
      <c r="O17" s="712">
        <v>26.38</v>
      </c>
      <c r="P17" s="840">
        <v>22.88</v>
      </c>
      <c r="Q17" s="836">
        <v>7.5</v>
      </c>
      <c r="R17" s="694">
        <v>7.2</v>
      </c>
      <c r="S17" s="625">
        <v>1.8</v>
      </c>
      <c r="T17" s="748">
        <v>15</v>
      </c>
      <c r="U17" s="749">
        <v>30</v>
      </c>
      <c r="V17" s="848"/>
      <c r="W17" s="831">
        <v>6</v>
      </c>
      <c r="X17" s="832">
        <v>7</v>
      </c>
      <c r="Y17" s="833">
        <v>12</v>
      </c>
    </row>
    <row r="18" spans="1:30" ht="15.6" x14ac:dyDescent="0.25">
      <c r="A18" s="113"/>
      <c r="B18" s="114" t="s">
        <v>130</v>
      </c>
      <c r="C18" s="656"/>
      <c r="D18" s="657"/>
      <c r="E18" s="658" t="s">
        <v>98</v>
      </c>
      <c r="F18" s="659"/>
      <c r="G18" s="660"/>
      <c r="H18" s="661"/>
      <c r="I18" s="662"/>
      <c r="J18" s="663"/>
      <c r="K18" s="664"/>
      <c r="L18" s="665"/>
      <c r="M18" s="666"/>
      <c r="N18" s="667"/>
      <c r="O18" s="668"/>
      <c r="P18" s="795"/>
      <c r="Q18" s="659"/>
      <c r="R18" s="656"/>
      <c r="S18" s="780"/>
      <c r="T18" s="669"/>
      <c r="U18" s="670"/>
      <c r="V18" s="848"/>
      <c r="W18" s="655"/>
      <c r="X18" s="671"/>
      <c r="Y18" s="672"/>
    </row>
    <row r="19" spans="1:30" x14ac:dyDescent="0.25">
      <c r="A19" s="72"/>
      <c r="B19" s="68" t="s">
        <v>125</v>
      </c>
      <c r="C19" s="695">
        <v>0.4</v>
      </c>
      <c r="D19" s="710">
        <v>46.2</v>
      </c>
      <c r="E19" s="706">
        <v>13.5</v>
      </c>
      <c r="F19" s="706">
        <v>56</v>
      </c>
      <c r="G19" s="717">
        <v>12.39</v>
      </c>
      <c r="H19" s="718">
        <v>8.26</v>
      </c>
      <c r="I19" s="719">
        <v>6.2</v>
      </c>
      <c r="J19" s="694">
        <v>7.6</v>
      </c>
      <c r="K19" s="796">
        <v>9.35</v>
      </c>
      <c r="L19" s="710">
        <v>2.16</v>
      </c>
      <c r="M19" s="711">
        <v>6.3</v>
      </c>
      <c r="N19" s="706">
        <v>7.48</v>
      </c>
      <c r="O19" s="712">
        <v>9.2100000000000009</v>
      </c>
      <c r="P19" s="838">
        <v>21.72</v>
      </c>
      <c r="Q19" s="836">
        <v>3.5</v>
      </c>
      <c r="R19" s="694">
        <v>2</v>
      </c>
      <c r="S19" s="625">
        <v>1.8</v>
      </c>
      <c r="T19" s="748">
        <v>15</v>
      </c>
      <c r="U19" s="749">
        <v>30</v>
      </c>
      <c r="V19" s="848"/>
      <c r="W19" s="710">
        <v>5.4</v>
      </c>
      <c r="X19" s="706">
        <v>6</v>
      </c>
      <c r="Y19" s="712">
        <v>11</v>
      </c>
    </row>
    <row r="20" spans="1:30" x14ac:dyDescent="0.25">
      <c r="A20" s="72"/>
      <c r="B20" s="68" t="s">
        <v>8</v>
      </c>
      <c r="C20" s="694">
        <v>0.7</v>
      </c>
      <c r="D20" s="710">
        <v>70.7</v>
      </c>
      <c r="E20" s="706">
        <v>20.2</v>
      </c>
      <c r="F20" s="706">
        <v>90.7</v>
      </c>
      <c r="G20" s="717">
        <v>19.04</v>
      </c>
      <c r="H20" s="718">
        <v>12.69</v>
      </c>
      <c r="I20" s="719">
        <v>9.52</v>
      </c>
      <c r="J20" s="720">
        <v>11.5</v>
      </c>
      <c r="K20" s="796">
        <v>9.41</v>
      </c>
      <c r="L20" s="710">
        <v>3.78</v>
      </c>
      <c r="M20" s="711">
        <v>10</v>
      </c>
      <c r="N20" s="706">
        <v>11.53</v>
      </c>
      <c r="O20" s="712">
        <v>14.31</v>
      </c>
      <c r="P20" s="838">
        <v>23.54</v>
      </c>
      <c r="Q20" s="836">
        <v>5.4</v>
      </c>
      <c r="R20" s="694">
        <v>3</v>
      </c>
      <c r="S20" s="625">
        <v>1.8</v>
      </c>
      <c r="T20" s="748">
        <v>15</v>
      </c>
      <c r="U20" s="749">
        <v>30</v>
      </c>
      <c r="V20" s="848"/>
      <c r="W20" s="710">
        <v>5.4</v>
      </c>
      <c r="X20" s="706">
        <v>6</v>
      </c>
      <c r="Y20" s="712">
        <v>11</v>
      </c>
    </row>
    <row r="21" spans="1:30" x14ac:dyDescent="0.25">
      <c r="A21" s="72"/>
      <c r="B21" s="68" t="s">
        <v>9</v>
      </c>
      <c r="C21" s="694">
        <v>1</v>
      </c>
      <c r="D21" s="710">
        <v>82.5</v>
      </c>
      <c r="E21" s="706">
        <v>22.3</v>
      </c>
      <c r="F21" s="706">
        <v>96.5</v>
      </c>
      <c r="G21" s="717">
        <v>22.21</v>
      </c>
      <c r="H21" s="718">
        <v>14.81</v>
      </c>
      <c r="I21" s="719">
        <v>11.11</v>
      </c>
      <c r="J21" s="720">
        <v>13.1</v>
      </c>
      <c r="K21" s="796">
        <v>9.4499999999999993</v>
      </c>
      <c r="L21" s="710">
        <v>5.4</v>
      </c>
      <c r="M21" s="711">
        <v>11.4</v>
      </c>
      <c r="N21" s="706">
        <v>13.59</v>
      </c>
      <c r="O21" s="712">
        <v>17.12</v>
      </c>
      <c r="P21" s="838">
        <v>26.66</v>
      </c>
      <c r="Q21" s="836">
        <v>6.3</v>
      </c>
      <c r="R21" s="695">
        <v>3.4</v>
      </c>
      <c r="S21" s="625">
        <v>1.8</v>
      </c>
      <c r="T21" s="748">
        <v>15</v>
      </c>
      <c r="U21" s="749">
        <v>30</v>
      </c>
      <c r="V21" s="848"/>
      <c r="W21" s="710">
        <v>5.4</v>
      </c>
      <c r="X21" s="706">
        <v>6</v>
      </c>
      <c r="Y21" s="712">
        <v>11</v>
      </c>
    </row>
    <row r="22" spans="1:30" x14ac:dyDescent="0.25">
      <c r="A22" s="72"/>
      <c r="B22" s="68" t="s">
        <v>126</v>
      </c>
      <c r="C22" s="694">
        <v>1</v>
      </c>
      <c r="D22" s="705">
        <v>109</v>
      </c>
      <c r="E22" s="713">
        <v>37</v>
      </c>
      <c r="F22" s="714">
        <v>129</v>
      </c>
      <c r="G22" s="717">
        <v>36.49</v>
      </c>
      <c r="H22" s="718">
        <v>24.33</v>
      </c>
      <c r="I22" s="719">
        <v>18.25</v>
      </c>
      <c r="J22" s="694">
        <v>19</v>
      </c>
      <c r="K22" s="796">
        <v>9.6</v>
      </c>
      <c r="L22" s="694">
        <v>4</v>
      </c>
      <c r="M22" s="716">
        <v>14.4</v>
      </c>
      <c r="N22" s="706">
        <v>18.190000000000001</v>
      </c>
      <c r="O22" s="712">
        <v>23.02</v>
      </c>
      <c r="P22" s="838">
        <v>22.92</v>
      </c>
      <c r="Q22" s="836">
        <v>9.6</v>
      </c>
      <c r="R22" s="694">
        <v>6</v>
      </c>
      <c r="S22" s="625">
        <v>1.8</v>
      </c>
      <c r="T22" s="748">
        <v>15</v>
      </c>
      <c r="U22" s="749">
        <v>30</v>
      </c>
      <c r="V22" s="848"/>
      <c r="W22" s="740">
        <v>4</v>
      </c>
      <c r="X22" s="804">
        <v>6</v>
      </c>
      <c r="Y22" s="774">
        <v>11</v>
      </c>
    </row>
    <row r="23" spans="1:30" x14ac:dyDescent="0.25">
      <c r="A23" s="72"/>
      <c r="B23" s="68" t="s">
        <v>127</v>
      </c>
      <c r="C23" s="694">
        <v>1</v>
      </c>
      <c r="D23" s="705">
        <v>124</v>
      </c>
      <c r="E23" s="713">
        <v>43</v>
      </c>
      <c r="F23" s="714">
        <v>134</v>
      </c>
      <c r="G23" s="721">
        <v>38.1</v>
      </c>
      <c r="H23" s="722">
        <v>25.4</v>
      </c>
      <c r="I23" s="719">
        <v>19.05</v>
      </c>
      <c r="J23" s="694">
        <v>20</v>
      </c>
      <c r="K23" s="796">
        <v>9.5299999999999994</v>
      </c>
      <c r="L23" s="694">
        <v>4</v>
      </c>
      <c r="M23" s="716">
        <v>15</v>
      </c>
      <c r="N23" s="706">
        <v>18.989999999999998</v>
      </c>
      <c r="O23" s="712">
        <v>24.02</v>
      </c>
      <c r="P23" s="838">
        <v>22.31</v>
      </c>
      <c r="Q23" s="836">
        <v>9.6999999999999993</v>
      </c>
      <c r="R23" s="694">
        <v>6.4</v>
      </c>
      <c r="S23" s="625">
        <v>1.8</v>
      </c>
      <c r="T23" s="748">
        <v>15</v>
      </c>
      <c r="U23" s="749">
        <v>30</v>
      </c>
      <c r="V23" s="848"/>
      <c r="W23" s="740">
        <v>4</v>
      </c>
      <c r="X23" s="804">
        <v>6</v>
      </c>
      <c r="Y23" s="774">
        <v>11</v>
      </c>
    </row>
    <row r="24" spans="1:30" x14ac:dyDescent="0.25">
      <c r="A24" s="72"/>
      <c r="B24" s="68" t="s">
        <v>128</v>
      </c>
      <c r="C24" s="694">
        <v>1</v>
      </c>
      <c r="D24" s="705">
        <v>141</v>
      </c>
      <c r="E24" s="713">
        <v>48</v>
      </c>
      <c r="F24" s="714">
        <v>143</v>
      </c>
      <c r="G24" s="717">
        <v>40.35</v>
      </c>
      <c r="H24" s="722">
        <v>26.9</v>
      </c>
      <c r="I24" s="719">
        <v>20.18</v>
      </c>
      <c r="J24" s="694">
        <v>21</v>
      </c>
      <c r="K24" s="796">
        <v>9.61</v>
      </c>
      <c r="L24" s="694">
        <v>5</v>
      </c>
      <c r="M24" s="716">
        <v>16</v>
      </c>
      <c r="N24" s="706">
        <v>19.79</v>
      </c>
      <c r="O24" s="712">
        <v>25.02</v>
      </c>
      <c r="P24" s="838">
        <v>21.87</v>
      </c>
      <c r="Q24" s="836">
        <v>9.5</v>
      </c>
      <c r="R24" s="694">
        <v>6.8</v>
      </c>
      <c r="S24" s="625">
        <v>1.8</v>
      </c>
      <c r="T24" s="748">
        <v>15</v>
      </c>
      <c r="U24" s="749">
        <v>30</v>
      </c>
      <c r="V24" s="848"/>
      <c r="W24" s="740">
        <v>5</v>
      </c>
      <c r="X24" s="804">
        <v>6</v>
      </c>
      <c r="Y24" s="774">
        <v>11</v>
      </c>
    </row>
    <row r="25" spans="1:30" s="869" customFormat="1" x14ac:dyDescent="0.25">
      <c r="A25" s="859"/>
      <c r="B25" s="860" t="s">
        <v>129</v>
      </c>
      <c r="C25" s="694">
        <v>1</v>
      </c>
      <c r="D25" s="705">
        <v>159</v>
      </c>
      <c r="E25" s="806">
        <v>55</v>
      </c>
      <c r="F25" s="861"/>
      <c r="G25" s="862"/>
      <c r="H25" s="863"/>
      <c r="I25" s="861"/>
      <c r="J25" s="864">
        <v>22</v>
      </c>
      <c r="K25" s="807">
        <v>10.55</v>
      </c>
      <c r="L25" s="865">
        <v>6</v>
      </c>
      <c r="M25" s="716">
        <v>17</v>
      </c>
      <c r="N25" s="804">
        <v>20.96</v>
      </c>
      <c r="O25" s="866">
        <v>26.38</v>
      </c>
      <c r="P25" s="867">
        <v>23.1</v>
      </c>
      <c r="Q25" s="861"/>
      <c r="R25" s="694">
        <v>7.2</v>
      </c>
      <c r="S25" s="748">
        <v>1.8</v>
      </c>
      <c r="T25" s="748">
        <v>15</v>
      </c>
      <c r="U25" s="749">
        <v>30</v>
      </c>
      <c r="V25" s="868"/>
      <c r="W25" s="740">
        <v>6</v>
      </c>
      <c r="X25" s="804">
        <v>7</v>
      </c>
      <c r="Y25" s="774">
        <v>12</v>
      </c>
    </row>
    <row r="26" spans="1:30" s="636" customFormat="1" x14ac:dyDescent="0.25">
      <c r="A26" s="626"/>
      <c r="B26" s="627" t="s">
        <v>132</v>
      </c>
      <c r="C26" s="628">
        <f>+'Berech. Lagerraum flüssig+fest'!BD13</f>
        <v>0</v>
      </c>
      <c r="D26" s="629">
        <f t="shared" ref="D26:K26" si="0">+C26</f>
        <v>0</v>
      </c>
      <c r="E26" s="629">
        <f t="shared" si="0"/>
        <v>0</v>
      </c>
      <c r="F26" s="629">
        <f t="shared" si="0"/>
        <v>0</v>
      </c>
      <c r="G26" s="629">
        <f t="shared" si="0"/>
        <v>0</v>
      </c>
      <c r="H26" s="629">
        <f t="shared" si="0"/>
        <v>0</v>
      </c>
      <c r="I26" s="629">
        <f t="shared" si="0"/>
        <v>0</v>
      </c>
      <c r="J26" s="630">
        <f t="shared" si="0"/>
        <v>0</v>
      </c>
      <c r="K26" s="630">
        <f t="shared" si="0"/>
        <v>0</v>
      </c>
      <c r="L26" s="631">
        <f>+J26</f>
        <v>0</v>
      </c>
      <c r="M26" s="629">
        <f>+L26</f>
        <v>0</v>
      </c>
      <c r="N26" s="629">
        <f>+M26</f>
        <v>0</v>
      </c>
      <c r="O26" s="630">
        <f>+N26</f>
        <v>0</v>
      </c>
      <c r="P26" s="630">
        <f>+O26</f>
        <v>0</v>
      </c>
      <c r="Q26" s="631">
        <f>+O26</f>
        <v>0</v>
      </c>
      <c r="R26" s="629">
        <f>+Q26</f>
        <v>0</v>
      </c>
      <c r="S26" s="629">
        <f>+R26</f>
        <v>0</v>
      </c>
      <c r="T26" s="629">
        <f>+R26</f>
        <v>0</v>
      </c>
      <c r="U26" s="629">
        <f>+T26</f>
        <v>0</v>
      </c>
      <c r="V26" s="632"/>
      <c r="W26" s="633">
        <f t="shared" ref="W26:Y27" si="1">S26</f>
        <v>0</v>
      </c>
      <c r="X26" s="634">
        <f t="shared" si="1"/>
        <v>0</v>
      </c>
      <c r="Y26" s="635">
        <f t="shared" si="1"/>
        <v>0</v>
      </c>
    </row>
    <row r="27" spans="1:30" s="636" customFormat="1" x14ac:dyDescent="0.25">
      <c r="A27" s="626"/>
      <c r="B27" s="627" t="s">
        <v>97</v>
      </c>
      <c r="C27" s="628">
        <f>+'Berech. Lagerraum flüssig+fest'!B13</f>
        <v>0</v>
      </c>
      <c r="D27" s="629">
        <f>+C27</f>
        <v>0</v>
      </c>
      <c r="E27" s="629">
        <f t="shared" ref="E27:U27" si="2">+D27</f>
        <v>0</v>
      </c>
      <c r="F27" s="629">
        <f t="shared" si="2"/>
        <v>0</v>
      </c>
      <c r="G27" s="629">
        <f t="shared" si="2"/>
        <v>0</v>
      </c>
      <c r="H27" s="629">
        <f t="shared" si="2"/>
        <v>0</v>
      </c>
      <c r="I27" s="629">
        <f>+H27</f>
        <v>0</v>
      </c>
      <c r="J27" s="630">
        <f>+I27</f>
        <v>0</v>
      </c>
      <c r="K27" s="630">
        <f t="shared" si="2"/>
        <v>0</v>
      </c>
      <c r="L27" s="631">
        <f>+J27</f>
        <v>0</v>
      </c>
      <c r="M27" s="629">
        <f>+L27</f>
        <v>0</v>
      </c>
      <c r="N27" s="629">
        <f t="shared" si="2"/>
        <v>0</v>
      </c>
      <c r="O27" s="630">
        <f t="shared" si="2"/>
        <v>0</v>
      </c>
      <c r="P27" s="630">
        <f t="shared" si="2"/>
        <v>0</v>
      </c>
      <c r="Q27" s="631">
        <f>+O27</f>
        <v>0</v>
      </c>
      <c r="R27" s="629">
        <f>+Q27</f>
        <v>0</v>
      </c>
      <c r="S27" s="629">
        <f>+R27</f>
        <v>0</v>
      </c>
      <c r="T27" s="629">
        <f>+R27</f>
        <v>0</v>
      </c>
      <c r="U27" s="629">
        <f t="shared" si="2"/>
        <v>0</v>
      </c>
      <c r="V27" s="632"/>
      <c r="W27" s="633">
        <f t="shared" si="1"/>
        <v>0</v>
      </c>
      <c r="X27" s="634">
        <f t="shared" si="1"/>
        <v>0</v>
      </c>
      <c r="Y27" s="635">
        <f t="shared" si="1"/>
        <v>0</v>
      </c>
    </row>
    <row r="28" spans="1:30" s="636" customFormat="1" x14ac:dyDescent="0.25">
      <c r="A28" s="626"/>
      <c r="B28" s="627" t="s">
        <v>133</v>
      </c>
      <c r="C28" s="637">
        <f>IF(C27&lt;=6000,C14,IF(AND(C27&gt;6000,C27&lt;=8000),C14+(C15-C14)/2000*(C27-6000),IF(AND(C27&gt;8000,C27&lt;=10000),C15+(C16-C15)/2000*(C27-8000),IF(AND(C27&gt;10000,C27&lt;=12000),C16+(C17-C16)/2000*(C27-10000),C17))))</f>
        <v>1</v>
      </c>
      <c r="D28" s="637">
        <f>IF(D27&lt;=6000,D14,IF(AND(D27&gt;6000,D27&lt;=8000),D14+(D15-D14)/2000*(D27-6000),IF(AND(D27&gt;8000,D27&lt;=10000),D15+(D16-D15)/2000*(D27-8000),IF(AND(D27&gt;10000,D27&lt;=12000),D16+(D17-D16)/2000*(D27-10000),D17))))</f>
        <v>100</v>
      </c>
      <c r="E28" s="637">
        <f>IF(E27&lt;=6000,E14,IF(AND(E27&gt;6000,E27&lt;=8000),E14+(E15-E14)/2000*(E27-6000),IF(AND(E27&gt;8000,E27&lt;=10000),E15+(E16-E15)/2000*(E27-8000),IF(AND(E27&gt;10000,E27&lt;=12000),E16+(E17-E16)/2000*(E27-10000),E17))))</f>
        <v>36</v>
      </c>
      <c r="F28" s="637">
        <f>IF(F27&lt;=6000,F14,IF(AND(F27&gt;6000,F27&lt;=8000),F14+(F15-F14)/2000*(F27-6000),IF(AND(F27&gt;8000,F27&lt;=10000),F15+(F16-F15)/2000*(F27-8000),IF(AND(F27&gt;10000,F27&lt;=12000),F16+(F17-F16)/2000*(F27-10000),F17))))</f>
        <v>104</v>
      </c>
      <c r="G28" s="637">
        <f t="shared" ref="G28:T28" si="3">IF(G27&lt;=6000,G14,IF(AND(G27&gt;6000,G27&lt;=8000),G14+(G15-G14)/2000*(G27-6000),IF(AND(G27&gt;8000,G27&lt;=10000),G15+(G16-G15)/2000*(G27-8000),IF(AND(G27&gt;10000,G27&lt;=12000),G16+(G17-G16)/2000*(G27-10000),G17))))</f>
        <v>33.81</v>
      </c>
      <c r="H28" s="637">
        <f t="shared" si="3"/>
        <v>22.54</v>
      </c>
      <c r="I28" s="637">
        <f t="shared" si="3"/>
        <v>16.899999999999999</v>
      </c>
      <c r="J28" s="637">
        <f>IF(J27&lt;=6000,J14,IF(AND(J27&gt;6000,J27&lt;=8000),J14+(J15-J14)/2000*(J27-6000),IF(AND(J27&gt;8000,J27&lt;=10000),J15+(J16-J15)/2000*(J27-8000),IF(AND(J27&gt;10000,J27&lt;=12000),J16+(J17-J16)/2000*(J27-10000),J17))))</f>
        <v>19</v>
      </c>
      <c r="K28" s="637">
        <f>IF(K27&lt;=6000,K14,IF(AND(K27&gt;6000,K27&lt;=8000),K14+(K15-K14)/2000*(K27-6000),IF(AND(K27&gt;8000,K27&lt;=10000),K15+(K16-K15)/2000*(K27-8000),IF(AND(K27&gt;10000,K27&lt;=12000),K16+(K17-K16)/2000*(K27-10000),K17))))</f>
        <v>8.9</v>
      </c>
      <c r="L28" s="637">
        <f t="shared" si="3"/>
        <v>4</v>
      </c>
      <c r="M28" s="637">
        <f t="shared" si="3"/>
        <v>14.4</v>
      </c>
      <c r="N28" s="637">
        <f t="shared" si="3"/>
        <v>18.190000000000001</v>
      </c>
      <c r="O28" s="637">
        <f t="shared" si="3"/>
        <v>23.02</v>
      </c>
      <c r="P28" s="637">
        <f t="shared" si="3"/>
        <v>22.35</v>
      </c>
      <c r="Q28" s="637">
        <f t="shared" si="3"/>
        <v>7.3</v>
      </c>
      <c r="R28" s="637">
        <f>IF(R27&lt;=6000,R14,IF(AND(R27&gt;6000,R27&lt;=8000),R14+(R15-R14)/2000*(R27-6000),IF(AND(R27&gt;8000,R27&lt;=10000),R15+(R16-R15)/2000*(R27-8000),IF(AND(R27&gt;10000,R27&lt;=12000),R16+(R17-R16)/2000*(R27-10000),R17))))</f>
        <v>6</v>
      </c>
      <c r="S28" s="637">
        <f>IF(S27&lt;=6000,S14,IF(AND(S27&gt;6000,S27&lt;=8000),S14+(S15-S14)/2000*(S27-6000),IF(AND(S27&gt;8000,S27&lt;=10000),S15+(S16-S15)/2000*(S27-8000),IF(AND(S27&gt;10000,S27&lt;=12000),S16+(S17-S16)/2000*(S27-10000),S17))))</f>
        <v>1.8</v>
      </c>
      <c r="T28" s="637">
        <f t="shared" si="3"/>
        <v>15</v>
      </c>
      <c r="U28" s="637">
        <f>IF(U27&lt;=6000,U14,IF(AND(U27&gt;6000,U27&lt;=8000),U14+(U15-U14)/2000*(U27-6000),IF(AND(U27&gt;8000,U27&lt;=10000),U15+(U16-U15)/2000*(U27-8000),IF(AND(U27&gt;10000,U27&lt;=12000),U16+(U17-U16)/2000*(U27-10000),U17))))</f>
        <v>30</v>
      </c>
      <c r="V28" s="637"/>
      <c r="W28" s="638">
        <f>IF(W27&lt;=6000,W14,IF(AND(W27&gt;6000,W27&lt;=8000),W14+(W15-W14)/2000*(W27-6000),IF(AND(W27&gt;8000,W27&lt;=10000),W15+(W16-W15)/2000*(W27-8000),IF(AND(W27&gt;10000,W27&lt;=12000),W16+(W17-W16)/2000*(W27-10000),W17))))</f>
        <v>4</v>
      </c>
      <c r="X28" s="639">
        <f>IF(X27&lt;=6000,X14,IF(AND(X27&gt;6000,X27&lt;=8000),X14+(X15-X14)/2000*(X27-6000),IF(AND(X27&gt;8000,X27&lt;=10000),X15+(X16-X15)/2000*(X27-8000),IF(AND(X27&gt;10000,X27&lt;=12000),X16+(X17-X16)/2000*(X27-10000),X17))))</f>
        <v>6</v>
      </c>
      <c r="Y28" s="640">
        <f>IF(Y27&lt;=6000,Y14,IF(AND(Y27&gt;6000,Y27&lt;=8000),Y14+(Y15-Y14)/2000*(Y27-6000),IF(AND(Y27&gt;8000,Y27&lt;=10000),Y15+(Y16-Y15)/2000*(Y27-8000),IF(AND(Y27&gt;10000,Y27&lt;=12000),Y16+(Y17-Y16)/2000*(Y27-10000),Y17))))</f>
        <v>11</v>
      </c>
    </row>
    <row r="29" spans="1:30" s="636" customFormat="1" x14ac:dyDescent="0.25">
      <c r="A29" s="626"/>
      <c r="B29" s="627" t="s">
        <v>134</v>
      </c>
      <c r="C29" s="637">
        <f>IF(C27&lt;=6000,C22,IF(AND(C27&gt;6000,C27&lt;=8000),C22+(C23-C22)/2000*(C27-6000),IF(AND(C27&gt;8000,C27&lt;=10000),C23+(C24-C23)/2000*(C27-8000),C24)))</f>
        <v>1</v>
      </c>
      <c r="D29" s="637">
        <f>IF(D27&lt;=6000,D22,IF(AND(D27&gt;6000,D27&lt;=8000),D22+(D23-D22)/2000*(D27-6000),IF(AND(D27&gt;8000,D27&lt;=10000),D23+(D24-D23)/2000*(D27-8000),D24)))</f>
        <v>109</v>
      </c>
      <c r="E29" s="637">
        <f t="shared" ref="E29:U29" si="4">IF(E27&lt;=6000,E22,IF(AND(E27&gt;6000,E27&lt;=8000),E22+(E23-E22)/2000*(E27-6000),IF(AND(E27&gt;8000,E27&lt;=10000),E23+(E24-E23)/2000*(E27-8000),E24)))</f>
        <v>37</v>
      </c>
      <c r="F29" s="637">
        <f t="shared" si="4"/>
        <v>129</v>
      </c>
      <c r="G29" s="637">
        <f t="shared" si="4"/>
        <v>36.49</v>
      </c>
      <c r="H29" s="637">
        <f t="shared" si="4"/>
        <v>24.33</v>
      </c>
      <c r="I29" s="637">
        <f t="shared" si="4"/>
        <v>18.25</v>
      </c>
      <c r="J29" s="637">
        <f>IF(J27&lt;=6000,J22,IF(AND(J27&gt;6000,J27&lt;=8000),J22+(J23-J22)/2000*(J27-6000),IF(AND(J27&gt;8000,J27&lt;=10000),J23+(J24-J23)/2000*(J27-8000),IF(AND(J27&gt;10000,J27&lt;=12000),J24+(J25-J24)/2000*(J27-10000),J24))))</f>
        <v>19</v>
      </c>
      <c r="K29" s="637">
        <f>IF(K27&lt;=6000,K22,IF(AND(K27&gt;6000,K27&lt;=8000),K22+(K23-K22)/2000*(K27-6000),IF(AND(K27&gt;8000,K27&lt;=10000),K23+(K24-K23)/2000*(K27-8000),K24)))</f>
        <v>9.6</v>
      </c>
      <c r="L29" s="637">
        <f>IF(L27&lt;=6000,L22,IF(AND(L27&gt;6000,L27&lt;=8000),L22+(L23-L22)/2000*(L27-6000),IF(AND(L27&gt;8000,L27&lt;=10000),L23+(L24-L23)/2000*(L27-8000),IF(AND(L27&gt;10000,L27&lt;=12000),L24+(L25-L24)/2000*(L27-10000),L24))))</f>
        <v>4</v>
      </c>
      <c r="M29" s="637">
        <f>IF(M27&lt;=6000,M22,IF(AND(M27&gt;6000,M27&lt;=8000),M22+(M23-M22)/2000*(M27-6000),IF(AND(M27&gt;8000,M27&lt;=10000),M23+(M24-M23)/2000*(M27-8000),IF(AND(M27&gt;10000,M27&lt;=12000),M24+(M25-M24)/2000*(M27-10000),M24))))</f>
        <v>14.4</v>
      </c>
      <c r="N29" s="637">
        <f>IF(N27&lt;=6000,N22,IF(AND(N27&gt;6000,N27&lt;=8000),N22+(N23-N22)/2000*(N27-6000),IF(AND(N27&gt;8000,N27&lt;=10000),N23+(N24-N23)/2000*(N27-8000),IF(AND(N27&gt;10000,N27&lt;=12000),N24+(N25-N24)/2000*(N27-10000),N24))))</f>
        <v>18.190000000000001</v>
      </c>
      <c r="O29" s="637">
        <f>IF(O27&lt;=6000,O22,IF(AND(O27&gt;6000,O27&lt;=8000),O22+(O23-O22)/2000*(O27-6000),IF(AND(O27&gt;8000,O27&lt;=10000),O23+(O24-O23)/2000*(O27-8000),IF(AND(O27&gt;10000,O27&lt;=12000),O24+(O25-O24)/2000*(O27-10000),O24))))</f>
        <v>23.02</v>
      </c>
      <c r="P29" s="637">
        <f t="shared" si="4"/>
        <v>22.92</v>
      </c>
      <c r="Q29" s="637">
        <f t="shared" si="4"/>
        <v>9.6</v>
      </c>
      <c r="R29" s="637">
        <f>IF(R27&lt;=6000,R22,IF(AND(R27&gt;6000,R27&lt;=8000),R22+(R23-R22)/2000*(R27-6000),IF(AND(R27&gt;8000,R27&lt;=10000),R23+(R24-R23)/2000*(R27-8000),IF(AND(R27&gt;10000,R27&lt;=12000),R24+(R25-R24)/2000*(R27-10000),R24))))</f>
        <v>6</v>
      </c>
      <c r="S29" s="637">
        <f t="shared" si="4"/>
        <v>1.8</v>
      </c>
      <c r="T29" s="637">
        <f t="shared" si="4"/>
        <v>15</v>
      </c>
      <c r="U29" s="637">
        <f t="shared" si="4"/>
        <v>30</v>
      </c>
      <c r="V29" s="637"/>
      <c r="W29" s="638">
        <f>IF(W27&lt;=6000,W22,IF(AND(W27&gt;6000,W27&lt;=8000),W22+(W23-W22)/2000*(W27-6000),IF(AND(W27&gt;8000,W27&lt;=10000),W23+(W24-W23)/2000*(W27-8000),IF(AND(W27&gt;10000,W27&lt;=12000),W24+(W25-W24)/2000*(W27-10000),W24))))</f>
        <v>4</v>
      </c>
      <c r="X29" s="639">
        <f>IF(X27&lt;=6000,X22,IF(AND(X27&gt;6000,X27&lt;=8000),X22+(X23-X22)/2000*(X27-6000),IF(AND(X27&gt;8000,X27&lt;=10000),X23+(X24-X23)/2000*(X27-8000),IF(AND(X27&gt;10000,X27&lt;=12000),X24+(X25-X24)/2000*(X27-10000),X24))))</f>
        <v>6</v>
      </c>
      <c r="Y29" s="640">
        <f>IF(Y27&lt;=6000,Y22,IF(AND(Y27&gt;6000,Y27&lt;=8000),Y22+(Y23-Y22)/2000*(Y27-6000),IF(AND(Y27&gt;8000,Y27&lt;=10000),Y23+(Y24-Y23)/2000*(Y27-8000),IF(AND(Y27&gt;10000,Y27&lt;=12000),Y24+(Y25-Y24)/2000*(Y27-10000),Y24))))</f>
        <v>11</v>
      </c>
    </row>
    <row r="30" spans="1:30" s="636" customFormat="1" x14ac:dyDescent="0.25">
      <c r="A30" s="626"/>
      <c r="B30" s="627"/>
      <c r="C30" s="629"/>
      <c r="D30" s="629"/>
      <c r="E30" s="629"/>
      <c r="F30" s="629"/>
      <c r="G30" s="629"/>
      <c r="H30" s="629"/>
      <c r="I30" s="629"/>
      <c r="J30" s="630"/>
      <c r="K30" s="628"/>
      <c r="L30" s="631"/>
      <c r="M30" s="629"/>
      <c r="N30" s="629"/>
      <c r="O30" s="630"/>
      <c r="P30" s="641"/>
      <c r="Q30" s="631"/>
      <c r="R30" s="629"/>
      <c r="S30" s="629"/>
      <c r="T30" s="629"/>
      <c r="U30" s="629"/>
      <c r="V30" s="632"/>
      <c r="W30" s="642"/>
      <c r="X30" s="643"/>
      <c r="Y30" s="644"/>
    </row>
    <row r="31" spans="1:30" s="636" customFormat="1" x14ac:dyDescent="0.25">
      <c r="A31" s="626"/>
      <c r="B31" s="627" t="s">
        <v>22</v>
      </c>
      <c r="C31" s="645">
        <f>IF(C$26&lt;=0.65,C28,IF(C$26&gt;=0.85,C29,((0.85-C$26)*5*C28)+((C$26-0.65)*5*C29)))</f>
        <v>1</v>
      </c>
      <c r="D31" s="645">
        <f>IF(D$26&lt;=0.65,D28,IF(D$26&gt;=0.85,D29,((0.85-D$26)*5*D28)+((D$26-0.65)*5*D29)))</f>
        <v>100</v>
      </c>
      <c r="E31" s="645">
        <f t="shared" ref="E31:Y31" si="5">IF(E$26&lt;=0.65,E28,IF(E$26&gt;=0.85,E29,((0.85-E$26)*5*E28)+((E$26-0.65)*5*E29)))</f>
        <v>36</v>
      </c>
      <c r="F31" s="645">
        <f t="shared" si="5"/>
        <v>104</v>
      </c>
      <c r="G31" s="645">
        <f t="shared" si="5"/>
        <v>33.81</v>
      </c>
      <c r="H31" s="645">
        <f t="shared" si="5"/>
        <v>22.54</v>
      </c>
      <c r="I31" s="645">
        <f>IF(I$26&lt;=0.65,I28,IF(I$26&gt;=0.85,I29,((0.85-I$26)*5*I28)+((I$26-0.65)*5*I29)))</f>
        <v>16.899999999999999</v>
      </c>
      <c r="J31" s="645">
        <f>IF(J$26&lt;=0.65,J28,IF(J$26&gt;=0.85,J29,((0.85-J$26)*5*J28)+((J$26-0.65)*5*J29)))</f>
        <v>19</v>
      </c>
      <c r="K31" s="645">
        <f>IF(K$26&lt;=0.65,K28,IF(K$26&gt;=0.85,K29,((0.85-K$26)*5*K28)+((K$26-0.65)*5*K29)))</f>
        <v>8.9</v>
      </c>
      <c r="L31" s="645">
        <f t="shared" si="5"/>
        <v>4</v>
      </c>
      <c r="M31" s="645">
        <f t="shared" si="5"/>
        <v>14.4</v>
      </c>
      <c r="N31" s="645">
        <f t="shared" si="5"/>
        <v>18.190000000000001</v>
      </c>
      <c r="O31" s="645">
        <f t="shared" si="5"/>
        <v>23.02</v>
      </c>
      <c r="P31" s="645">
        <f t="shared" si="5"/>
        <v>22.35</v>
      </c>
      <c r="Q31" s="645">
        <f>IF(Q$26&lt;=0.65,Q28,IF(Q$26&gt;=0.85,Q29,((0.85-Q$26)*5*Q28)+((Q$26-0.65)*5*Q29)))</f>
        <v>7.3</v>
      </c>
      <c r="R31" s="645">
        <f t="shared" si="5"/>
        <v>6</v>
      </c>
      <c r="S31" s="645">
        <f>IF(S$26&lt;=0.65,S28,IF(S$26&gt;=0.85,S29,((0.85-S$26)*5*S28)+((S$26-0.65)*5*S29)))</f>
        <v>1.8</v>
      </c>
      <c r="T31" s="645">
        <f t="shared" si="5"/>
        <v>15</v>
      </c>
      <c r="U31" s="645">
        <f t="shared" si="5"/>
        <v>30</v>
      </c>
      <c r="V31" s="645">
        <v>0.9</v>
      </c>
      <c r="W31" s="646">
        <f>IF(W$26&lt;=0.65,W28,IF(W$26&gt;=0.85,W29,((0.85-W$26)*5*W28)+((W$26-0.65)*5*W29)))</f>
        <v>4</v>
      </c>
      <c r="X31" s="647">
        <f t="shared" si="5"/>
        <v>6</v>
      </c>
      <c r="Y31" s="648">
        <f t="shared" si="5"/>
        <v>11</v>
      </c>
      <c r="Z31" s="649">
        <v>1</v>
      </c>
      <c r="AA31" s="649">
        <v>2</v>
      </c>
      <c r="AB31" s="649">
        <v>50</v>
      </c>
      <c r="AC31" s="636">
        <v>90</v>
      </c>
      <c r="AD31" s="636">
        <v>10</v>
      </c>
    </row>
    <row r="32" spans="1:30" x14ac:dyDescent="0.25">
      <c r="A32" s="72"/>
      <c r="B32" s="68" t="s">
        <v>6</v>
      </c>
      <c r="C32" s="695">
        <v>0.2</v>
      </c>
      <c r="D32" s="724">
        <v>21.81</v>
      </c>
      <c r="E32" s="725">
        <v>7.4</v>
      </c>
      <c r="F32" s="725">
        <v>22.24</v>
      </c>
      <c r="G32" s="726">
        <v>7.5</v>
      </c>
      <c r="H32" s="727">
        <v>5</v>
      </c>
      <c r="I32" s="728">
        <v>3.7</v>
      </c>
      <c r="J32" s="720">
        <v>4.08</v>
      </c>
      <c r="K32" s="796">
        <v>9.19</v>
      </c>
      <c r="L32" s="720">
        <v>0.72</v>
      </c>
      <c r="M32" s="711">
        <v>3.15</v>
      </c>
      <c r="N32" s="706">
        <v>3.88</v>
      </c>
      <c r="O32" s="712">
        <v>4.88</v>
      </c>
      <c r="P32" s="838">
        <v>21.83</v>
      </c>
      <c r="Q32" s="835">
        <v>1.5</v>
      </c>
      <c r="R32" s="695">
        <v>1.28</v>
      </c>
      <c r="S32" s="625">
        <v>1.8</v>
      </c>
      <c r="T32" s="750">
        <v>15</v>
      </c>
      <c r="U32" s="751">
        <v>30</v>
      </c>
      <c r="V32" s="848">
        <v>0.9</v>
      </c>
      <c r="W32" s="710">
        <v>5.4</v>
      </c>
      <c r="X32" s="706">
        <v>6</v>
      </c>
      <c r="Y32" s="712">
        <v>11</v>
      </c>
      <c r="Z32" s="168">
        <v>1</v>
      </c>
      <c r="AA32" s="168">
        <v>2</v>
      </c>
      <c r="AB32" s="168">
        <v>50</v>
      </c>
      <c r="AC32" s="85">
        <v>90</v>
      </c>
      <c r="AD32" s="85">
        <v>10</v>
      </c>
    </row>
    <row r="33" spans="1:30" s="636" customFormat="1" x14ac:dyDescent="0.25">
      <c r="A33" s="626"/>
      <c r="B33" s="627" t="s">
        <v>125</v>
      </c>
      <c r="C33" s="645">
        <f>IF(C$26&lt;=0.65,C11,IF(C$26&gt;=0.85,C19,((0.85-C$26)*5*C11)+((C$26-0.65)*5*C19)))</f>
        <v>0.4</v>
      </c>
      <c r="D33" s="645">
        <f>IF(D$26&lt;=0.65,D11,IF(D$26&gt;=0.85,D19,((0.85-D$26)*5*D11)+((D$26-0.65)*5*D19)))</f>
        <v>37</v>
      </c>
      <c r="E33" s="645">
        <f t="shared" ref="E33:U33" si="6">IF(E$26&lt;=0.65,E11,IF(E$26&gt;=0.85,E19,((0.85-E$26)*5*E11)+((E$26-0.65)*5*E19)))</f>
        <v>11.5</v>
      </c>
      <c r="F33" s="645">
        <f t="shared" si="6"/>
        <v>45.3</v>
      </c>
      <c r="G33" s="645">
        <f t="shared" si="6"/>
        <v>12.48</v>
      </c>
      <c r="H33" s="645">
        <f t="shared" si="6"/>
        <v>8.32</v>
      </c>
      <c r="I33" s="645">
        <f t="shared" si="6"/>
        <v>6.24</v>
      </c>
      <c r="J33" s="645">
        <f t="shared" si="6"/>
        <v>7.6</v>
      </c>
      <c r="K33" s="645">
        <f>IF(K$26&lt;=0.65,K11,IF(K$26&gt;=0.85,K19,((0.85-K$26)*5*K11)+((K$26-0.65)*5*K19)))</f>
        <v>8.2100000000000009</v>
      </c>
      <c r="L33" s="645">
        <f t="shared" si="6"/>
        <v>2.16</v>
      </c>
      <c r="M33" s="645">
        <f t="shared" si="6"/>
        <v>6.3</v>
      </c>
      <c r="N33" s="645">
        <f t="shared" si="6"/>
        <v>7.48</v>
      </c>
      <c r="O33" s="645">
        <f t="shared" si="6"/>
        <v>9.2100000000000009</v>
      </c>
      <c r="P33" s="645">
        <f>IF(P$26&lt;=0.65,P11,IF(P$26&gt;=0.85,P19,((0.85-P$26)*5*P11)+((P$26-0.65)*5*P19)))</f>
        <v>21.77</v>
      </c>
      <c r="Q33" s="645">
        <f t="shared" si="6"/>
        <v>2.8</v>
      </c>
      <c r="R33" s="645">
        <f t="shared" si="6"/>
        <v>2</v>
      </c>
      <c r="S33" s="846">
        <f>IF(S$26&lt;=0.65,S11,IF(S$26&gt;=0.85,S19,((0.85-S$26)*5*S11)+((S$26-0.65)*5*S19)))</f>
        <v>1.8</v>
      </c>
      <c r="T33" s="645">
        <f t="shared" si="6"/>
        <v>15</v>
      </c>
      <c r="U33" s="645">
        <f t="shared" si="6"/>
        <v>30</v>
      </c>
      <c r="V33" s="632">
        <v>0.9</v>
      </c>
      <c r="W33" s="633">
        <f t="shared" ref="W33:Y35" si="7">IF(W$26&lt;=0.65,W11,IF(W$26&gt;=0.85,W19,((0.85-W$26)*5*W11)+((W$26-0.65)*5*W19)))</f>
        <v>5.4</v>
      </c>
      <c r="X33" s="633">
        <f t="shared" si="7"/>
        <v>6</v>
      </c>
      <c r="Y33" s="634">
        <f t="shared" si="7"/>
        <v>11</v>
      </c>
      <c r="Z33" s="649">
        <v>1</v>
      </c>
      <c r="AA33" s="649">
        <v>2</v>
      </c>
      <c r="AB33" s="649">
        <v>50</v>
      </c>
      <c r="AC33" s="636">
        <v>90</v>
      </c>
      <c r="AD33" s="636">
        <v>10</v>
      </c>
    </row>
    <row r="34" spans="1:30" s="636" customFormat="1" x14ac:dyDescent="0.25">
      <c r="A34" s="626"/>
      <c r="B34" s="627" t="s">
        <v>8</v>
      </c>
      <c r="C34" s="645">
        <f t="shared" ref="C34:U34" si="8">IF(C$26&lt;=0.65,C12,IF(C$26&gt;=0.85,C20,((0.85-C$26)*5*C12)+((C$26-0.65)*5*C20)))</f>
        <v>0.7</v>
      </c>
      <c r="D34" s="645">
        <f t="shared" si="8"/>
        <v>56</v>
      </c>
      <c r="E34" s="645">
        <f t="shared" si="8"/>
        <v>18.8</v>
      </c>
      <c r="F34" s="645">
        <f t="shared" si="8"/>
        <v>68</v>
      </c>
      <c r="G34" s="645">
        <f t="shared" si="8"/>
        <v>18.87</v>
      </c>
      <c r="H34" s="645">
        <f t="shared" si="8"/>
        <v>12.58</v>
      </c>
      <c r="I34" s="645">
        <f t="shared" si="8"/>
        <v>9.44</v>
      </c>
      <c r="J34" s="645">
        <f t="shared" si="8"/>
        <v>11.5</v>
      </c>
      <c r="K34" s="645">
        <f>IF(K$26&lt;=0.65,K12,IF(K$26&gt;=0.85,K20,((0.85-K$26)*5*K12)+((K$26-0.65)*5*K20)))</f>
        <v>8.1999999999999993</v>
      </c>
      <c r="L34" s="645">
        <f t="shared" si="8"/>
        <v>3.78</v>
      </c>
      <c r="M34" s="645">
        <f t="shared" si="8"/>
        <v>10</v>
      </c>
      <c r="N34" s="645">
        <f t="shared" si="8"/>
        <v>11.53</v>
      </c>
      <c r="O34" s="645">
        <f t="shared" si="8"/>
        <v>14.31</v>
      </c>
      <c r="P34" s="645">
        <f>IF(P$26&lt;=0.65,P12,IF(P$26&gt;=0.85,P20,((0.85-P$26)*5*P12)+((P$26-0.65)*5*P20)))</f>
        <v>23.48</v>
      </c>
      <c r="Q34" s="645">
        <f t="shared" si="8"/>
        <v>4.3</v>
      </c>
      <c r="R34" s="645">
        <f t="shared" si="8"/>
        <v>3</v>
      </c>
      <c r="S34" s="846">
        <f>IF(S$26&lt;=0.65,S12,IF(S$26&gt;=0.85,S20,((0.85-S$26)*5*S12)+((S$26-0.65)*5*S20)))</f>
        <v>1.8</v>
      </c>
      <c r="T34" s="645">
        <f t="shared" si="8"/>
        <v>15</v>
      </c>
      <c r="U34" s="645">
        <f t="shared" si="8"/>
        <v>30</v>
      </c>
      <c r="V34" s="632">
        <v>0.9</v>
      </c>
      <c r="W34" s="633">
        <f t="shared" si="7"/>
        <v>5.4</v>
      </c>
      <c r="X34" s="633">
        <f t="shared" si="7"/>
        <v>6</v>
      </c>
      <c r="Y34" s="634">
        <f t="shared" si="7"/>
        <v>11</v>
      </c>
      <c r="Z34" s="649">
        <v>1</v>
      </c>
      <c r="AA34" s="649">
        <v>2</v>
      </c>
      <c r="AB34" s="649">
        <v>50</v>
      </c>
      <c r="AC34" s="636">
        <v>90</v>
      </c>
      <c r="AD34" s="636">
        <v>10</v>
      </c>
    </row>
    <row r="35" spans="1:30" s="636" customFormat="1" x14ac:dyDescent="0.25">
      <c r="A35" s="626"/>
      <c r="B35" s="627" t="s">
        <v>9</v>
      </c>
      <c r="C35" s="645">
        <f t="shared" ref="C35:U35" si="9">IF(C$26&lt;=0.65,C13,IF(C$26&gt;=0.85,C21,((0.85-C$26)*5*C13)+((C$26-0.65)*5*C21)))</f>
        <v>1</v>
      </c>
      <c r="D35" s="645">
        <f t="shared" si="9"/>
        <v>64</v>
      </c>
      <c r="E35" s="645">
        <f t="shared" si="9"/>
        <v>21.9</v>
      </c>
      <c r="F35" s="645">
        <f t="shared" si="9"/>
        <v>76.900000000000006</v>
      </c>
      <c r="G35" s="645">
        <f t="shared" si="9"/>
        <v>21.46</v>
      </c>
      <c r="H35" s="645">
        <f t="shared" si="9"/>
        <v>14.31</v>
      </c>
      <c r="I35" s="645">
        <f t="shared" si="9"/>
        <v>10.73</v>
      </c>
      <c r="J35" s="645">
        <f t="shared" si="9"/>
        <v>13.1</v>
      </c>
      <c r="K35" s="645">
        <f>IF(K$26&lt;=0.65,K13,IF(K$26&gt;=0.85,K21,((0.85-K$26)*5*K13)+((K$26-0.65)*5*K21)))</f>
        <v>8.19</v>
      </c>
      <c r="L35" s="645">
        <f t="shared" si="9"/>
        <v>5.4</v>
      </c>
      <c r="M35" s="645">
        <f t="shared" si="9"/>
        <v>11.4</v>
      </c>
      <c r="N35" s="645">
        <f t="shared" si="9"/>
        <v>13.59</v>
      </c>
      <c r="O35" s="645">
        <f t="shared" si="9"/>
        <v>17.12</v>
      </c>
      <c r="P35" s="645">
        <f>IF(P$26&lt;=0.65,P13,IF(P$26&gt;=0.85,P21,((0.85-P$26)*5*P13)+((P$26-0.65)*5*P21)))</f>
        <v>26.44</v>
      </c>
      <c r="Q35" s="645">
        <f t="shared" si="9"/>
        <v>4.8</v>
      </c>
      <c r="R35" s="645">
        <f>IF(R$26&lt;=0.65,R13,IF(R$26&gt;=0.85,R21,((0.85-R$26)*5*R13)+((R$26-0.65)*5*R21)))</f>
        <v>3.4</v>
      </c>
      <c r="S35" s="846">
        <f>IF(S$26&lt;=0.65,S13,IF(S$26&gt;=0.85,S21,((0.85-S$26)*5*S13)+((S$26-0.65)*5*S21)))</f>
        <v>1.8</v>
      </c>
      <c r="T35" s="645">
        <f t="shared" si="9"/>
        <v>15</v>
      </c>
      <c r="U35" s="645">
        <f t="shared" si="9"/>
        <v>30</v>
      </c>
      <c r="V35" s="632">
        <v>0.9</v>
      </c>
      <c r="W35" s="633">
        <f t="shared" si="7"/>
        <v>5.4</v>
      </c>
      <c r="X35" s="633">
        <f t="shared" si="7"/>
        <v>6</v>
      </c>
      <c r="Y35" s="634">
        <f t="shared" si="7"/>
        <v>11</v>
      </c>
      <c r="Z35" s="649">
        <v>1</v>
      </c>
      <c r="AA35" s="649">
        <v>2</v>
      </c>
      <c r="AB35" s="649">
        <v>50</v>
      </c>
      <c r="AC35" s="636">
        <v>90</v>
      </c>
      <c r="AD35" s="636">
        <v>10</v>
      </c>
    </row>
    <row r="36" spans="1:30" x14ac:dyDescent="0.25">
      <c r="A36" s="73"/>
      <c r="B36" s="74" t="s">
        <v>57</v>
      </c>
      <c r="C36" s="693">
        <v>0.4</v>
      </c>
      <c r="D36" s="729">
        <v>37.5</v>
      </c>
      <c r="E36" s="730">
        <v>14.5</v>
      </c>
      <c r="F36" s="731">
        <v>31.25</v>
      </c>
      <c r="G36" s="732">
        <v>11.69</v>
      </c>
      <c r="H36" s="733">
        <v>7.8</v>
      </c>
      <c r="I36" s="734">
        <v>5.87</v>
      </c>
      <c r="J36" s="735">
        <v>7.1</v>
      </c>
      <c r="K36" s="796">
        <v>8.24</v>
      </c>
      <c r="L36" s="743">
        <v>0.72</v>
      </c>
      <c r="M36" s="744">
        <v>4.5</v>
      </c>
      <c r="N36" s="745">
        <v>6.63</v>
      </c>
      <c r="O36" s="746">
        <v>8.7100000000000009</v>
      </c>
      <c r="P36" s="841">
        <v>22.57</v>
      </c>
      <c r="Q36" s="835">
        <v>2.2999999999999998</v>
      </c>
      <c r="R36" s="696">
        <v>2.7</v>
      </c>
      <c r="S36" s="625">
        <v>1.8</v>
      </c>
      <c r="T36" s="752">
        <v>15</v>
      </c>
      <c r="U36" s="753">
        <v>30</v>
      </c>
      <c r="V36" s="847">
        <v>0.9</v>
      </c>
      <c r="W36" s="827">
        <v>1.8</v>
      </c>
      <c r="X36" s="745">
        <v>6</v>
      </c>
      <c r="Y36" s="746">
        <v>11</v>
      </c>
      <c r="Z36" s="168">
        <v>1</v>
      </c>
      <c r="AA36" s="168">
        <v>2</v>
      </c>
      <c r="AB36" s="168">
        <v>50</v>
      </c>
      <c r="AC36" s="85">
        <v>90</v>
      </c>
      <c r="AD36" s="85">
        <v>10</v>
      </c>
    </row>
    <row r="37" spans="1:30" x14ac:dyDescent="0.25">
      <c r="A37" s="73"/>
      <c r="B37" s="74" t="s">
        <v>58</v>
      </c>
      <c r="C37" s="693">
        <v>1</v>
      </c>
      <c r="D37" s="736">
        <v>54.5</v>
      </c>
      <c r="E37" s="737">
        <v>20.5</v>
      </c>
      <c r="F37" s="738">
        <v>45.5</v>
      </c>
      <c r="G37" s="732">
        <v>17.07</v>
      </c>
      <c r="H37" s="733">
        <v>11.38</v>
      </c>
      <c r="I37" s="739">
        <v>8.57</v>
      </c>
      <c r="J37" s="735">
        <v>9.9</v>
      </c>
      <c r="K37" s="796">
        <v>8.6199999999999992</v>
      </c>
      <c r="L37" s="747">
        <v>1.8</v>
      </c>
      <c r="M37" s="744">
        <v>6.6</v>
      </c>
      <c r="N37" s="745">
        <v>10.14</v>
      </c>
      <c r="O37" s="746">
        <v>13.92</v>
      </c>
      <c r="P37" s="838">
        <v>30.94</v>
      </c>
      <c r="Q37" s="835">
        <v>3.4</v>
      </c>
      <c r="R37" s="696">
        <v>3.9</v>
      </c>
      <c r="S37" s="625">
        <v>1.8</v>
      </c>
      <c r="T37" s="752">
        <v>15</v>
      </c>
      <c r="U37" s="753">
        <v>30</v>
      </c>
      <c r="V37" s="847">
        <v>0.9</v>
      </c>
      <c r="W37" s="710">
        <v>1.8</v>
      </c>
      <c r="X37" s="706">
        <v>6</v>
      </c>
      <c r="Y37" s="712">
        <v>11</v>
      </c>
      <c r="Z37" s="168">
        <v>1</v>
      </c>
      <c r="AA37" s="168">
        <v>2</v>
      </c>
      <c r="AB37" s="168">
        <v>50</v>
      </c>
      <c r="AC37" s="85">
        <v>90</v>
      </c>
      <c r="AD37" s="85">
        <v>10</v>
      </c>
    </row>
    <row r="38" spans="1:30" x14ac:dyDescent="0.25">
      <c r="A38" s="72"/>
      <c r="B38" s="68" t="s">
        <v>7</v>
      </c>
      <c r="C38" s="694">
        <v>1</v>
      </c>
      <c r="D38" s="740">
        <v>64</v>
      </c>
      <c r="E38" s="741">
        <v>21</v>
      </c>
      <c r="F38" s="742">
        <v>78</v>
      </c>
      <c r="G38" s="707">
        <v>21.46</v>
      </c>
      <c r="H38" s="708">
        <v>14.31</v>
      </c>
      <c r="I38" s="709">
        <v>10.73</v>
      </c>
      <c r="J38" s="694">
        <v>13.1</v>
      </c>
      <c r="K38" s="796">
        <v>8.19</v>
      </c>
      <c r="L38" s="747">
        <v>4.2300000000000004</v>
      </c>
      <c r="M38" s="711">
        <v>11.4</v>
      </c>
      <c r="N38" s="706">
        <v>13.59</v>
      </c>
      <c r="O38" s="712">
        <v>17.12</v>
      </c>
      <c r="P38" s="838">
        <v>26.44</v>
      </c>
      <c r="Q38" s="836">
        <v>4.8</v>
      </c>
      <c r="R38" s="694">
        <v>3.4</v>
      </c>
      <c r="S38" s="625">
        <v>1.8</v>
      </c>
      <c r="T38" s="748">
        <v>15</v>
      </c>
      <c r="U38" s="749">
        <v>30</v>
      </c>
      <c r="V38" s="847">
        <v>0.9</v>
      </c>
      <c r="W38" s="740">
        <v>4.2300000000000004</v>
      </c>
      <c r="X38" s="804">
        <v>6</v>
      </c>
      <c r="Y38" s="774">
        <v>11</v>
      </c>
      <c r="Z38" s="168">
        <v>1</v>
      </c>
      <c r="AA38" s="168">
        <v>2</v>
      </c>
      <c r="AB38" s="168">
        <v>50</v>
      </c>
      <c r="AC38" s="85">
        <v>90</v>
      </c>
      <c r="AD38" s="85">
        <v>10</v>
      </c>
    </row>
    <row r="39" spans="1:30" x14ac:dyDescent="0.25">
      <c r="A39" s="72"/>
      <c r="B39" s="68" t="s">
        <v>59</v>
      </c>
      <c r="C39" s="694">
        <v>1</v>
      </c>
      <c r="D39" s="705">
        <v>105</v>
      </c>
      <c r="E39" s="713">
        <v>31</v>
      </c>
      <c r="F39" s="714">
        <v>129</v>
      </c>
      <c r="G39" s="723">
        <v>32.159999999999997</v>
      </c>
      <c r="H39" s="718">
        <v>21.44</v>
      </c>
      <c r="I39" s="719">
        <v>16.079999999999998</v>
      </c>
      <c r="J39" s="694">
        <v>20</v>
      </c>
      <c r="K39" s="796">
        <v>8.0399999999999991</v>
      </c>
      <c r="L39" s="694">
        <v>4</v>
      </c>
      <c r="M39" s="716">
        <v>15.8</v>
      </c>
      <c r="N39" s="706">
        <v>19.41</v>
      </c>
      <c r="O39" s="712">
        <v>24.42</v>
      </c>
      <c r="P39" s="838">
        <v>20.59</v>
      </c>
      <c r="Q39" s="836">
        <v>7.6</v>
      </c>
      <c r="R39" s="694">
        <v>6</v>
      </c>
      <c r="S39" s="625">
        <v>1.8</v>
      </c>
      <c r="T39" s="748">
        <v>15</v>
      </c>
      <c r="U39" s="749">
        <v>30</v>
      </c>
      <c r="V39" s="847">
        <v>0.9</v>
      </c>
      <c r="W39" s="740">
        <v>4.3899999999999997</v>
      </c>
      <c r="X39" s="804">
        <v>6</v>
      </c>
      <c r="Y39" s="774">
        <v>11</v>
      </c>
      <c r="Z39" s="168">
        <v>1</v>
      </c>
      <c r="AA39" s="168">
        <v>2</v>
      </c>
      <c r="AB39" s="168">
        <v>50</v>
      </c>
      <c r="AC39" s="85">
        <v>90</v>
      </c>
      <c r="AD39" s="85">
        <v>10</v>
      </c>
    </row>
    <row r="40" spans="1:30" x14ac:dyDescent="0.25">
      <c r="A40" s="64"/>
      <c r="B40" s="698" t="s">
        <v>60</v>
      </c>
      <c r="C40" s="695">
        <v>0.32</v>
      </c>
      <c r="D40" s="798">
        <v>27.3</v>
      </c>
      <c r="E40" s="713">
        <v>12.6</v>
      </c>
      <c r="F40" s="755">
        <v>12.77</v>
      </c>
      <c r="G40" s="653"/>
      <c r="H40" s="651"/>
      <c r="I40" s="652"/>
      <c r="J40" s="694">
        <v>4.2</v>
      </c>
      <c r="K40" s="796">
        <v>5.5</v>
      </c>
      <c r="L40" s="694">
        <v>2</v>
      </c>
      <c r="M40" s="716">
        <v>3.6</v>
      </c>
      <c r="N40" s="706">
        <v>4.4800000000000004</v>
      </c>
      <c r="O40" s="712">
        <v>5.48</v>
      </c>
      <c r="P40" s="840">
        <v>24.38</v>
      </c>
      <c r="Q40" s="836">
        <v>1.2</v>
      </c>
      <c r="R40" s="694">
        <v>1.3</v>
      </c>
      <c r="S40" s="625">
        <v>1.8</v>
      </c>
      <c r="T40" s="786">
        <v>20</v>
      </c>
      <c r="U40" s="787">
        <v>30</v>
      </c>
      <c r="V40" s="847">
        <v>0.9</v>
      </c>
      <c r="W40" s="740">
        <v>6.25</v>
      </c>
      <c r="X40" s="804">
        <v>8</v>
      </c>
      <c r="Y40" s="774">
        <v>11</v>
      </c>
      <c r="Z40" s="168">
        <v>1</v>
      </c>
      <c r="AA40" s="168">
        <v>2</v>
      </c>
      <c r="AB40" s="168">
        <v>60</v>
      </c>
      <c r="AC40" s="85">
        <v>90</v>
      </c>
      <c r="AD40" s="85">
        <v>10</v>
      </c>
    </row>
    <row r="41" spans="1:30" x14ac:dyDescent="0.25">
      <c r="A41" s="64"/>
      <c r="B41" s="698" t="s">
        <v>61</v>
      </c>
      <c r="C41" s="695">
        <v>0.32</v>
      </c>
      <c r="D41" s="798">
        <v>24.1</v>
      </c>
      <c r="E41" s="713">
        <v>11.2</v>
      </c>
      <c r="F41" s="755">
        <v>11.58</v>
      </c>
      <c r="G41" s="653"/>
      <c r="H41" s="651"/>
      <c r="I41" s="652"/>
      <c r="J41" s="694">
        <v>4.2</v>
      </c>
      <c r="K41" s="796">
        <v>5.5</v>
      </c>
      <c r="L41" s="694">
        <v>2</v>
      </c>
      <c r="M41" s="716">
        <v>3.6</v>
      </c>
      <c r="N41" s="706">
        <v>4.4800000000000004</v>
      </c>
      <c r="O41" s="712">
        <v>5.48</v>
      </c>
      <c r="P41" s="840">
        <v>24.38</v>
      </c>
      <c r="Q41" s="836">
        <v>1.2</v>
      </c>
      <c r="R41" s="694">
        <v>1.3</v>
      </c>
      <c r="S41" s="625">
        <v>1.8</v>
      </c>
      <c r="T41" s="786">
        <v>20</v>
      </c>
      <c r="U41" s="787">
        <v>30</v>
      </c>
      <c r="V41" s="847">
        <v>0.9</v>
      </c>
      <c r="W41" s="740">
        <v>6.25</v>
      </c>
      <c r="X41" s="804">
        <v>8</v>
      </c>
      <c r="Y41" s="774">
        <v>11</v>
      </c>
      <c r="Z41" s="168">
        <v>1</v>
      </c>
      <c r="AA41" s="168">
        <v>2</v>
      </c>
      <c r="AB41" s="168">
        <v>60</v>
      </c>
      <c r="AC41" s="85">
        <v>90</v>
      </c>
      <c r="AD41" s="85">
        <v>10</v>
      </c>
    </row>
    <row r="42" spans="1:30" x14ac:dyDescent="0.25">
      <c r="A42" s="64"/>
      <c r="B42" s="698" t="s">
        <v>296</v>
      </c>
      <c r="C42" s="695">
        <v>0.32</v>
      </c>
      <c r="D42" s="798">
        <v>23.1</v>
      </c>
      <c r="E42" s="713">
        <v>10.3</v>
      </c>
      <c r="F42" s="755">
        <v>11.58</v>
      </c>
      <c r="G42" s="653"/>
      <c r="H42" s="651"/>
      <c r="I42" s="652"/>
      <c r="J42" s="694">
        <v>4.2</v>
      </c>
      <c r="K42" s="796">
        <v>5.5</v>
      </c>
      <c r="L42" s="694">
        <v>2</v>
      </c>
      <c r="M42" s="716">
        <v>3.6</v>
      </c>
      <c r="N42" s="706">
        <v>4.4800000000000004</v>
      </c>
      <c r="O42" s="712">
        <v>5.48</v>
      </c>
      <c r="P42" s="833">
        <v>24.38</v>
      </c>
      <c r="Q42" s="836">
        <v>1.2</v>
      </c>
      <c r="R42" s="694">
        <v>1.3</v>
      </c>
      <c r="S42" s="625">
        <v>1.8</v>
      </c>
      <c r="T42" s="786">
        <v>20</v>
      </c>
      <c r="U42" s="787">
        <v>30</v>
      </c>
      <c r="V42" s="847">
        <v>0.9</v>
      </c>
      <c r="W42" s="740">
        <v>6.25</v>
      </c>
      <c r="X42" s="804">
        <v>8</v>
      </c>
      <c r="Y42" s="774">
        <v>11</v>
      </c>
      <c r="Z42" s="168">
        <v>1</v>
      </c>
      <c r="AA42" s="168">
        <v>2</v>
      </c>
      <c r="AB42" s="168">
        <v>60</v>
      </c>
      <c r="AC42" s="85">
        <v>90</v>
      </c>
      <c r="AD42" s="85">
        <v>10</v>
      </c>
    </row>
    <row r="43" spans="1:30" x14ac:dyDescent="0.25">
      <c r="A43" s="64"/>
      <c r="B43" s="56" t="s">
        <v>62</v>
      </c>
      <c r="C43" s="695">
        <v>0.32</v>
      </c>
      <c r="D43" s="705">
        <v>27.5</v>
      </c>
      <c r="E43" s="713">
        <v>12.8</v>
      </c>
      <c r="F43" s="755">
        <v>13.13</v>
      </c>
      <c r="G43" s="653"/>
      <c r="H43" s="651"/>
      <c r="I43" s="652"/>
      <c r="J43" s="694">
        <v>4.4000000000000004</v>
      </c>
      <c r="K43" s="796">
        <v>5.5</v>
      </c>
      <c r="L43" s="694">
        <v>2</v>
      </c>
      <c r="M43" s="716">
        <v>3.7</v>
      </c>
      <c r="N43" s="706">
        <v>4.63</v>
      </c>
      <c r="O43" s="712">
        <v>5.68</v>
      </c>
      <c r="P43" s="838">
        <v>23.71</v>
      </c>
      <c r="Q43" s="836">
        <v>1.2</v>
      </c>
      <c r="R43" s="694">
        <v>1.4</v>
      </c>
      <c r="S43" s="625">
        <v>1.8</v>
      </c>
      <c r="T43" s="786">
        <v>20</v>
      </c>
      <c r="U43" s="787">
        <v>30</v>
      </c>
      <c r="V43" s="847">
        <v>0.9</v>
      </c>
      <c r="W43" s="740">
        <v>6.25</v>
      </c>
      <c r="X43" s="804">
        <v>8</v>
      </c>
      <c r="Y43" s="774">
        <v>11</v>
      </c>
      <c r="Z43" s="168">
        <v>1</v>
      </c>
      <c r="AA43" s="168">
        <v>2</v>
      </c>
      <c r="AB43" s="168">
        <v>60</v>
      </c>
      <c r="AC43" s="85">
        <v>90</v>
      </c>
      <c r="AD43" s="85">
        <v>10</v>
      </c>
    </row>
    <row r="44" spans="1:30" x14ac:dyDescent="0.25">
      <c r="A44" s="64"/>
      <c r="B44" s="870" t="s">
        <v>63</v>
      </c>
      <c r="C44" s="695">
        <v>0.32</v>
      </c>
      <c r="D44" s="705">
        <v>24.2</v>
      </c>
      <c r="E44" s="713">
        <v>11.2</v>
      </c>
      <c r="F44" s="755">
        <v>11.82</v>
      </c>
      <c r="G44" s="653"/>
      <c r="H44" s="651"/>
      <c r="I44" s="652"/>
      <c r="J44" s="694">
        <v>4.4000000000000004</v>
      </c>
      <c r="K44" s="796">
        <v>5.5</v>
      </c>
      <c r="L44" s="694">
        <v>2</v>
      </c>
      <c r="M44" s="716">
        <v>3.7</v>
      </c>
      <c r="N44" s="706">
        <v>4.63</v>
      </c>
      <c r="O44" s="712">
        <v>5.68</v>
      </c>
      <c r="P44" s="838">
        <v>23.71</v>
      </c>
      <c r="Q44" s="836">
        <v>1.2</v>
      </c>
      <c r="R44" s="694">
        <v>1.4</v>
      </c>
      <c r="S44" s="625">
        <v>1.8</v>
      </c>
      <c r="T44" s="786">
        <v>20</v>
      </c>
      <c r="U44" s="787">
        <v>30</v>
      </c>
      <c r="V44" s="847">
        <v>0.9</v>
      </c>
      <c r="W44" s="740">
        <v>6.25</v>
      </c>
      <c r="X44" s="804">
        <v>8</v>
      </c>
      <c r="Y44" s="774">
        <v>11</v>
      </c>
      <c r="Z44" s="168">
        <v>1</v>
      </c>
      <c r="AA44" s="168">
        <v>2</v>
      </c>
      <c r="AB44" s="168">
        <v>60</v>
      </c>
      <c r="AC44" s="85">
        <v>90</v>
      </c>
      <c r="AD44" s="85">
        <v>10</v>
      </c>
    </row>
    <row r="45" spans="1:30" x14ac:dyDescent="0.25">
      <c r="A45" s="64"/>
      <c r="B45" s="870" t="s">
        <v>297</v>
      </c>
      <c r="C45" s="695">
        <v>0.32</v>
      </c>
      <c r="D45" s="705">
        <v>23.2</v>
      </c>
      <c r="E45" s="713">
        <v>10.3</v>
      </c>
      <c r="F45" s="755">
        <v>11.82</v>
      </c>
      <c r="G45" s="653"/>
      <c r="H45" s="651"/>
      <c r="I45" s="652"/>
      <c r="J45" s="694">
        <v>4.4000000000000004</v>
      </c>
      <c r="K45" s="796">
        <v>5.5</v>
      </c>
      <c r="L45" s="694">
        <v>2</v>
      </c>
      <c r="M45" s="716">
        <v>3.7</v>
      </c>
      <c r="N45" s="706">
        <v>4.63</v>
      </c>
      <c r="O45" s="712">
        <v>5.68</v>
      </c>
      <c r="P45" s="774">
        <v>23.71</v>
      </c>
      <c r="Q45" s="836">
        <v>1.2</v>
      </c>
      <c r="R45" s="694">
        <v>1.4</v>
      </c>
      <c r="S45" s="625">
        <v>1.8</v>
      </c>
      <c r="T45" s="786">
        <v>20</v>
      </c>
      <c r="U45" s="787">
        <v>30</v>
      </c>
      <c r="V45" s="847">
        <v>0.9</v>
      </c>
      <c r="W45" s="740">
        <v>6.25</v>
      </c>
      <c r="X45" s="804">
        <v>8</v>
      </c>
      <c r="Y45" s="774">
        <v>11</v>
      </c>
      <c r="Z45" s="168">
        <v>1</v>
      </c>
      <c r="AA45" s="168">
        <v>2</v>
      </c>
      <c r="AB45" s="168">
        <v>60</v>
      </c>
      <c r="AC45" s="85">
        <v>90</v>
      </c>
      <c r="AD45" s="85">
        <v>10</v>
      </c>
    </row>
    <row r="46" spans="1:30" x14ac:dyDescent="0.25">
      <c r="A46" s="64"/>
      <c r="B46" s="698" t="s">
        <v>64</v>
      </c>
      <c r="C46" s="695">
        <v>0.4</v>
      </c>
      <c r="D46" s="798">
        <v>41.1</v>
      </c>
      <c r="E46" s="713">
        <v>17.899999999999999</v>
      </c>
      <c r="F46" s="755">
        <v>21.09</v>
      </c>
      <c r="G46" s="653"/>
      <c r="H46" s="651"/>
      <c r="I46" s="652"/>
      <c r="J46" s="694">
        <v>6.5</v>
      </c>
      <c r="K46" s="796">
        <v>5.5</v>
      </c>
      <c r="L46" s="694">
        <v>3</v>
      </c>
      <c r="M46" s="716">
        <v>5.2</v>
      </c>
      <c r="N46" s="706">
        <v>6.47</v>
      </c>
      <c r="O46" s="712">
        <v>8.11</v>
      </c>
      <c r="P46" s="838">
        <v>21.44</v>
      </c>
      <c r="Q46" s="836">
        <v>1.2</v>
      </c>
      <c r="R46" s="694">
        <v>2.4</v>
      </c>
      <c r="S46" s="625">
        <v>1.8</v>
      </c>
      <c r="T46" s="786">
        <v>20</v>
      </c>
      <c r="U46" s="787">
        <v>30</v>
      </c>
      <c r="V46" s="847">
        <v>0.9</v>
      </c>
      <c r="W46" s="740">
        <v>7.5</v>
      </c>
      <c r="X46" s="804">
        <v>8</v>
      </c>
      <c r="Y46" s="774">
        <v>11</v>
      </c>
      <c r="Z46" s="168">
        <v>1</v>
      </c>
      <c r="AA46" s="168">
        <v>2</v>
      </c>
      <c r="AB46" s="168">
        <v>60</v>
      </c>
      <c r="AC46" s="85">
        <v>90</v>
      </c>
      <c r="AD46" s="85">
        <v>10</v>
      </c>
    </row>
    <row r="47" spans="1:30" x14ac:dyDescent="0.25">
      <c r="A47" s="64"/>
      <c r="B47" s="698" t="s">
        <v>65</v>
      </c>
      <c r="C47" s="695">
        <v>0.4</v>
      </c>
      <c r="D47" s="798">
        <v>36.799999999999997</v>
      </c>
      <c r="E47" s="713">
        <v>16</v>
      </c>
      <c r="F47" s="755">
        <v>19.52</v>
      </c>
      <c r="G47" s="653"/>
      <c r="H47" s="651"/>
      <c r="I47" s="652"/>
      <c r="J47" s="694">
        <v>6.5</v>
      </c>
      <c r="K47" s="796">
        <v>5.5</v>
      </c>
      <c r="L47" s="694">
        <v>3</v>
      </c>
      <c r="M47" s="716">
        <v>5.2</v>
      </c>
      <c r="N47" s="706">
        <v>6.47</v>
      </c>
      <c r="O47" s="712">
        <v>8.11</v>
      </c>
      <c r="P47" s="838">
        <v>21.44</v>
      </c>
      <c r="Q47" s="836">
        <v>1.2</v>
      </c>
      <c r="R47" s="694">
        <v>2.4</v>
      </c>
      <c r="S47" s="625">
        <v>1.8</v>
      </c>
      <c r="T47" s="786">
        <v>20</v>
      </c>
      <c r="U47" s="787">
        <v>30</v>
      </c>
      <c r="V47" s="847">
        <v>0.9</v>
      </c>
      <c r="W47" s="740">
        <v>7.5</v>
      </c>
      <c r="X47" s="804">
        <v>8</v>
      </c>
      <c r="Y47" s="774">
        <v>11</v>
      </c>
      <c r="Z47" s="168">
        <v>1</v>
      </c>
      <c r="AA47" s="168">
        <v>2</v>
      </c>
      <c r="AB47" s="168">
        <v>60</v>
      </c>
      <c r="AC47" s="85">
        <v>90</v>
      </c>
      <c r="AD47" s="85">
        <v>10</v>
      </c>
    </row>
    <row r="48" spans="1:30" x14ac:dyDescent="0.25">
      <c r="A48" s="64"/>
      <c r="B48" s="698" t="s">
        <v>298</v>
      </c>
      <c r="C48" s="695">
        <v>0.4</v>
      </c>
      <c r="D48" s="705">
        <v>35</v>
      </c>
      <c r="E48" s="713">
        <v>14.7</v>
      </c>
      <c r="F48" s="755">
        <v>18.52</v>
      </c>
      <c r="G48" s="653"/>
      <c r="H48" s="651"/>
      <c r="I48" s="652"/>
      <c r="J48" s="694">
        <v>6.5</v>
      </c>
      <c r="K48" s="796">
        <v>5.5</v>
      </c>
      <c r="L48" s="694">
        <v>3</v>
      </c>
      <c r="M48" s="716">
        <v>5.2</v>
      </c>
      <c r="N48" s="706">
        <v>6.47</v>
      </c>
      <c r="O48" s="712">
        <v>8.11</v>
      </c>
      <c r="P48" s="774">
        <v>21.44</v>
      </c>
      <c r="Q48" s="836">
        <v>1.2</v>
      </c>
      <c r="R48" s="694">
        <v>2.4</v>
      </c>
      <c r="S48" s="625">
        <v>1.8</v>
      </c>
      <c r="T48" s="786">
        <v>20</v>
      </c>
      <c r="U48" s="787">
        <v>30</v>
      </c>
      <c r="V48" s="847">
        <v>0.9</v>
      </c>
      <c r="W48" s="740">
        <v>7.5</v>
      </c>
      <c r="X48" s="804">
        <v>8</v>
      </c>
      <c r="Y48" s="774">
        <v>11</v>
      </c>
      <c r="Z48" s="168">
        <v>1</v>
      </c>
      <c r="AA48" s="168">
        <v>2</v>
      </c>
      <c r="AB48" s="168">
        <v>60</v>
      </c>
      <c r="AC48" s="85">
        <v>90</v>
      </c>
      <c r="AD48" s="85">
        <v>10</v>
      </c>
    </row>
    <row r="49" spans="1:30" x14ac:dyDescent="0.25">
      <c r="A49" s="64"/>
      <c r="B49" s="56" t="s">
        <v>66</v>
      </c>
      <c r="C49" s="695">
        <v>0.42</v>
      </c>
      <c r="D49" s="705">
        <v>42.9</v>
      </c>
      <c r="E49" s="713">
        <v>18.600000000000001</v>
      </c>
      <c r="F49" s="755">
        <v>21.33</v>
      </c>
      <c r="G49" s="653"/>
      <c r="H49" s="651"/>
      <c r="I49" s="652"/>
      <c r="J49" s="694">
        <v>7</v>
      </c>
      <c r="K49" s="796">
        <v>5.5</v>
      </c>
      <c r="L49" s="694">
        <v>3</v>
      </c>
      <c r="M49" s="716">
        <v>5.5</v>
      </c>
      <c r="N49" s="706">
        <v>6.93</v>
      </c>
      <c r="O49" s="712">
        <v>8.69</v>
      </c>
      <c r="P49" s="838">
        <v>21.12</v>
      </c>
      <c r="Q49" s="836">
        <v>1.2</v>
      </c>
      <c r="R49" s="694">
        <v>2.6</v>
      </c>
      <c r="S49" s="625">
        <v>1.8</v>
      </c>
      <c r="T49" s="786">
        <v>20</v>
      </c>
      <c r="U49" s="787">
        <v>30</v>
      </c>
      <c r="V49" s="847">
        <v>0.9</v>
      </c>
      <c r="W49" s="740">
        <v>7.14</v>
      </c>
      <c r="X49" s="804">
        <v>8</v>
      </c>
      <c r="Y49" s="774">
        <v>11</v>
      </c>
      <c r="Z49" s="168">
        <v>1</v>
      </c>
      <c r="AA49" s="168">
        <v>2</v>
      </c>
      <c r="AB49" s="168">
        <v>60</v>
      </c>
      <c r="AC49" s="85">
        <v>90</v>
      </c>
      <c r="AD49" s="85">
        <v>10</v>
      </c>
    </row>
    <row r="50" spans="1:30" x14ac:dyDescent="0.25">
      <c r="A50" s="64"/>
      <c r="B50" s="56" t="s">
        <v>67</v>
      </c>
      <c r="C50" s="695">
        <v>0.42</v>
      </c>
      <c r="D50" s="705">
        <v>38.4</v>
      </c>
      <c r="E50" s="713">
        <v>16.7</v>
      </c>
      <c r="F50" s="755">
        <v>20.73</v>
      </c>
      <c r="G50" s="653"/>
      <c r="H50" s="651"/>
      <c r="I50" s="652"/>
      <c r="J50" s="694">
        <v>7</v>
      </c>
      <c r="K50" s="796">
        <v>5.5</v>
      </c>
      <c r="L50" s="694">
        <v>3</v>
      </c>
      <c r="M50" s="716">
        <v>5.5</v>
      </c>
      <c r="N50" s="706">
        <v>6.93</v>
      </c>
      <c r="O50" s="712">
        <v>8.69</v>
      </c>
      <c r="P50" s="838">
        <v>21.12</v>
      </c>
      <c r="Q50" s="836">
        <v>1.2</v>
      </c>
      <c r="R50" s="694">
        <v>2.6</v>
      </c>
      <c r="S50" s="625">
        <v>1.8</v>
      </c>
      <c r="T50" s="786">
        <v>20</v>
      </c>
      <c r="U50" s="787">
        <v>30</v>
      </c>
      <c r="V50" s="847">
        <v>0.9</v>
      </c>
      <c r="W50" s="740">
        <v>7.14</v>
      </c>
      <c r="X50" s="804">
        <v>8</v>
      </c>
      <c r="Y50" s="774">
        <v>11</v>
      </c>
      <c r="Z50" s="168">
        <v>1</v>
      </c>
      <c r="AA50" s="168">
        <v>2</v>
      </c>
      <c r="AB50" s="168">
        <v>60</v>
      </c>
      <c r="AC50" s="85">
        <v>90</v>
      </c>
      <c r="AD50" s="85">
        <v>10</v>
      </c>
    </row>
    <row r="51" spans="1:30" x14ac:dyDescent="0.25">
      <c r="A51" s="64"/>
      <c r="B51" s="56" t="s">
        <v>299</v>
      </c>
      <c r="C51" s="695">
        <v>0.42</v>
      </c>
      <c r="D51" s="799">
        <v>36.6</v>
      </c>
      <c r="E51" s="713">
        <v>15.1</v>
      </c>
      <c r="F51" s="755">
        <v>20.73</v>
      </c>
      <c r="G51" s="653"/>
      <c r="H51" s="651"/>
      <c r="I51" s="652"/>
      <c r="J51" s="694">
        <v>7</v>
      </c>
      <c r="K51" s="796">
        <v>5.5</v>
      </c>
      <c r="L51" s="694">
        <v>3</v>
      </c>
      <c r="M51" s="716">
        <v>5.5</v>
      </c>
      <c r="N51" s="706">
        <v>6.93</v>
      </c>
      <c r="O51" s="712">
        <v>8.69</v>
      </c>
      <c r="P51" s="774">
        <v>21.12</v>
      </c>
      <c r="Q51" s="836">
        <v>1.2</v>
      </c>
      <c r="R51" s="694">
        <v>2.6</v>
      </c>
      <c r="S51" s="625">
        <v>1.8</v>
      </c>
      <c r="T51" s="786">
        <v>20</v>
      </c>
      <c r="U51" s="787">
        <v>30</v>
      </c>
      <c r="V51" s="847">
        <v>0.9</v>
      </c>
      <c r="W51" s="740">
        <v>7.14</v>
      </c>
      <c r="X51" s="804">
        <v>8</v>
      </c>
      <c r="Y51" s="774">
        <v>11</v>
      </c>
      <c r="Z51" s="168">
        <v>1</v>
      </c>
      <c r="AA51" s="168">
        <v>2</v>
      </c>
      <c r="AB51" s="168">
        <v>60</v>
      </c>
      <c r="AC51" s="85">
        <v>90</v>
      </c>
      <c r="AD51" s="85">
        <v>10</v>
      </c>
    </row>
    <row r="52" spans="1:30" x14ac:dyDescent="0.25">
      <c r="A52" s="72"/>
      <c r="B52" s="56" t="s">
        <v>68</v>
      </c>
      <c r="C52" s="695">
        <v>0.03</v>
      </c>
      <c r="D52" s="754">
        <v>4.46</v>
      </c>
      <c r="E52" s="741">
        <v>1.64</v>
      </c>
      <c r="F52" s="754">
        <v>2.73</v>
      </c>
      <c r="G52" s="653"/>
      <c r="H52" s="651"/>
      <c r="I52" s="652"/>
      <c r="J52" s="694">
        <v>0.7</v>
      </c>
      <c r="K52" s="796">
        <v>5.5</v>
      </c>
      <c r="L52" s="694">
        <v>0.23</v>
      </c>
      <c r="M52" s="803">
        <v>0.43</v>
      </c>
      <c r="N52" s="804">
        <v>0.61</v>
      </c>
      <c r="O52" s="774">
        <v>0.82</v>
      </c>
      <c r="P52" s="774">
        <v>17.62</v>
      </c>
      <c r="Q52" s="843">
        <v>0.15</v>
      </c>
      <c r="R52" s="695">
        <v>0.35</v>
      </c>
      <c r="S52" s="625">
        <v>1.8</v>
      </c>
      <c r="T52" s="786">
        <v>20</v>
      </c>
      <c r="U52" s="787">
        <v>30</v>
      </c>
      <c r="V52" s="847">
        <v>0.9</v>
      </c>
      <c r="W52" s="740">
        <v>7.67</v>
      </c>
      <c r="X52" s="804">
        <v>8</v>
      </c>
      <c r="Y52" s="774">
        <v>11</v>
      </c>
      <c r="Z52" s="168">
        <v>1</v>
      </c>
      <c r="AA52" s="168">
        <v>2</v>
      </c>
      <c r="AB52" s="168">
        <v>60</v>
      </c>
      <c r="AC52" s="85">
        <v>90</v>
      </c>
      <c r="AD52" s="85">
        <v>10</v>
      </c>
    </row>
    <row r="53" spans="1:30" x14ac:dyDescent="0.25">
      <c r="A53" s="72"/>
      <c r="B53" s="56" t="s">
        <v>69</v>
      </c>
      <c r="C53" s="695">
        <v>0.03</v>
      </c>
      <c r="D53" s="754">
        <v>4.1900000000000004</v>
      </c>
      <c r="E53" s="741">
        <v>1.61</v>
      </c>
      <c r="F53" s="754">
        <v>2.61</v>
      </c>
      <c r="G53" s="653"/>
      <c r="H53" s="651"/>
      <c r="I53" s="652"/>
      <c r="J53" s="694">
        <v>0.7</v>
      </c>
      <c r="K53" s="796">
        <v>5.5</v>
      </c>
      <c r="L53" s="694">
        <v>0.23</v>
      </c>
      <c r="M53" s="803">
        <v>0.43</v>
      </c>
      <c r="N53" s="804">
        <v>0.61</v>
      </c>
      <c r="O53" s="774">
        <v>0.82</v>
      </c>
      <c r="P53" s="774">
        <v>17.62</v>
      </c>
      <c r="Q53" s="843">
        <v>0.15</v>
      </c>
      <c r="R53" s="695">
        <v>0.35</v>
      </c>
      <c r="S53" s="625">
        <v>1.8</v>
      </c>
      <c r="T53" s="786">
        <v>20</v>
      </c>
      <c r="U53" s="787">
        <v>30</v>
      </c>
      <c r="V53" s="847">
        <v>0.9</v>
      </c>
      <c r="W53" s="740">
        <v>7.67</v>
      </c>
      <c r="X53" s="804">
        <v>8</v>
      </c>
      <c r="Y53" s="774">
        <v>11</v>
      </c>
      <c r="Z53" s="168">
        <v>1</v>
      </c>
      <c r="AA53" s="168">
        <v>2</v>
      </c>
      <c r="AB53" s="168">
        <v>60</v>
      </c>
      <c r="AC53" s="85">
        <v>90</v>
      </c>
      <c r="AD53" s="85">
        <v>10</v>
      </c>
    </row>
    <row r="54" spans="1:30" x14ac:dyDescent="0.25">
      <c r="A54" s="72"/>
      <c r="B54" s="56" t="s">
        <v>300</v>
      </c>
      <c r="C54" s="695">
        <v>0.03</v>
      </c>
      <c r="D54" s="754">
        <v>3.94</v>
      </c>
      <c r="E54" s="741">
        <v>1.46</v>
      </c>
      <c r="F54" s="754">
        <v>2.61</v>
      </c>
      <c r="G54" s="653"/>
      <c r="H54" s="651"/>
      <c r="I54" s="652"/>
      <c r="J54" s="694">
        <v>0.7</v>
      </c>
      <c r="K54" s="796">
        <v>5.5</v>
      </c>
      <c r="L54" s="694">
        <v>0.23</v>
      </c>
      <c r="M54" s="803">
        <v>0.43</v>
      </c>
      <c r="N54" s="804">
        <v>0.61</v>
      </c>
      <c r="O54" s="774">
        <v>0.82</v>
      </c>
      <c r="P54" s="774">
        <v>17.62</v>
      </c>
      <c r="Q54" s="843">
        <v>0.15</v>
      </c>
      <c r="R54" s="695">
        <v>0.35</v>
      </c>
      <c r="S54" s="625">
        <v>1.8</v>
      </c>
      <c r="T54" s="786">
        <v>20</v>
      </c>
      <c r="U54" s="787">
        <v>30</v>
      </c>
      <c r="V54" s="847">
        <v>0.9</v>
      </c>
      <c r="W54" s="740">
        <v>7.67</v>
      </c>
      <c r="X54" s="804">
        <v>8</v>
      </c>
      <c r="Y54" s="774">
        <v>11</v>
      </c>
      <c r="Z54" s="168">
        <v>1</v>
      </c>
      <c r="AA54" s="168">
        <v>2</v>
      </c>
      <c r="AB54" s="168">
        <v>60</v>
      </c>
      <c r="AC54" s="85">
        <v>90</v>
      </c>
      <c r="AD54" s="85">
        <v>10</v>
      </c>
    </row>
    <row r="55" spans="1:30" x14ac:dyDescent="0.25">
      <c r="A55" s="64"/>
      <c r="B55" s="845" t="s">
        <v>301</v>
      </c>
      <c r="C55" s="695">
        <v>0.14000000000000001</v>
      </c>
      <c r="D55" s="754">
        <v>14.06</v>
      </c>
      <c r="E55" s="800">
        <v>5.96</v>
      </c>
      <c r="F55" s="755">
        <v>7</v>
      </c>
      <c r="G55" s="675"/>
      <c r="H55" s="651"/>
      <c r="I55" s="652"/>
      <c r="J55" s="720">
        <v>1.85</v>
      </c>
      <c r="K55" s="796">
        <v>5.5</v>
      </c>
      <c r="L55" s="802">
        <v>0.62</v>
      </c>
      <c r="M55" s="803">
        <v>1.33</v>
      </c>
      <c r="N55" s="706">
        <v>1.79</v>
      </c>
      <c r="O55" s="712">
        <v>2.41</v>
      </c>
      <c r="P55" s="838">
        <v>24.28</v>
      </c>
      <c r="Q55" s="836">
        <v>0.7</v>
      </c>
      <c r="R55" s="720">
        <v>0.74</v>
      </c>
      <c r="S55" s="625">
        <v>1.8</v>
      </c>
      <c r="T55" s="786">
        <v>20</v>
      </c>
      <c r="U55" s="787">
        <v>30</v>
      </c>
      <c r="V55" s="847">
        <v>0.9</v>
      </c>
      <c r="W55" s="831">
        <v>4.43</v>
      </c>
      <c r="X55" s="832">
        <v>6</v>
      </c>
      <c r="Y55" s="833">
        <v>11</v>
      </c>
      <c r="Z55" s="168">
        <v>1</v>
      </c>
      <c r="AA55" s="168">
        <v>2</v>
      </c>
      <c r="AB55" s="168">
        <v>60</v>
      </c>
      <c r="AC55" s="85">
        <v>90</v>
      </c>
      <c r="AD55" s="85">
        <v>10</v>
      </c>
    </row>
    <row r="56" spans="1:30" x14ac:dyDescent="0.25">
      <c r="A56" s="64"/>
      <c r="B56" s="845" t="s">
        <v>302</v>
      </c>
      <c r="C56" s="695">
        <v>0.14000000000000001</v>
      </c>
      <c r="D56" s="754">
        <v>13.44</v>
      </c>
      <c r="E56" s="800">
        <v>5.0599999999999996</v>
      </c>
      <c r="F56" s="755">
        <v>6.77</v>
      </c>
      <c r="G56" s="675"/>
      <c r="H56" s="651"/>
      <c r="I56" s="652"/>
      <c r="J56" s="720">
        <v>1.85</v>
      </c>
      <c r="K56" s="796">
        <v>5.5</v>
      </c>
      <c r="L56" s="802">
        <v>0.62</v>
      </c>
      <c r="M56" s="803">
        <v>1.33</v>
      </c>
      <c r="N56" s="706">
        <v>1.79</v>
      </c>
      <c r="O56" s="712">
        <v>2.41</v>
      </c>
      <c r="P56" s="838">
        <v>24.28</v>
      </c>
      <c r="Q56" s="836">
        <v>0.7</v>
      </c>
      <c r="R56" s="720">
        <v>0.74</v>
      </c>
      <c r="S56" s="625">
        <v>1.8</v>
      </c>
      <c r="T56" s="786">
        <v>20</v>
      </c>
      <c r="U56" s="787">
        <v>30</v>
      </c>
      <c r="V56" s="847">
        <v>0.9</v>
      </c>
      <c r="W56" s="831">
        <v>4.43</v>
      </c>
      <c r="X56" s="832">
        <v>6</v>
      </c>
      <c r="Y56" s="833">
        <v>11</v>
      </c>
      <c r="Z56" s="168">
        <v>1</v>
      </c>
      <c r="AA56" s="168">
        <v>2</v>
      </c>
      <c r="AB56" s="168">
        <v>60</v>
      </c>
      <c r="AC56" s="85">
        <v>90</v>
      </c>
      <c r="AD56" s="85">
        <v>10</v>
      </c>
    </row>
    <row r="57" spans="1:30" x14ac:dyDescent="0.25">
      <c r="A57" s="64"/>
      <c r="B57" s="845" t="s">
        <v>303</v>
      </c>
      <c r="C57" s="695">
        <v>0.14000000000000001</v>
      </c>
      <c r="D57" s="754">
        <v>12.08</v>
      </c>
      <c r="E57" s="800">
        <v>4.8099999999999996</v>
      </c>
      <c r="F57" s="755">
        <v>6.57</v>
      </c>
      <c r="G57" s="675"/>
      <c r="H57" s="651"/>
      <c r="I57" s="652"/>
      <c r="J57" s="720">
        <v>1.85</v>
      </c>
      <c r="K57" s="796">
        <v>5.5</v>
      </c>
      <c r="L57" s="802">
        <v>0.62</v>
      </c>
      <c r="M57" s="803">
        <v>1.33</v>
      </c>
      <c r="N57" s="706">
        <v>1.79</v>
      </c>
      <c r="O57" s="712">
        <v>2.41</v>
      </c>
      <c r="P57" s="774">
        <v>24.28</v>
      </c>
      <c r="Q57" s="836">
        <v>0.7</v>
      </c>
      <c r="R57" s="720">
        <v>0.74</v>
      </c>
      <c r="S57" s="625">
        <v>1.8</v>
      </c>
      <c r="T57" s="786">
        <v>20</v>
      </c>
      <c r="U57" s="787">
        <v>30</v>
      </c>
      <c r="V57" s="847">
        <v>0.9</v>
      </c>
      <c r="W57" s="831">
        <v>4.43</v>
      </c>
      <c r="X57" s="832">
        <v>6</v>
      </c>
      <c r="Y57" s="833">
        <v>11</v>
      </c>
      <c r="Z57" s="168">
        <v>1</v>
      </c>
      <c r="AA57" s="168">
        <v>2</v>
      </c>
      <c r="AB57" s="168">
        <v>60</v>
      </c>
      <c r="AC57" s="85">
        <v>90</v>
      </c>
      <c r="AD57" s="85">
        <v>10</v>
      </c>
    </row>
    <row r="58" spans="1:30" x14ac:dyDescent="0.25">
      <c r="A58" s="72"/>
      <c r="B58" s="698" t="s">
        <v>70</v>
      </c>
      <c r="C58" s="695">
        <v>0.14000000000000001</v>
      </c>
      <c r="D58" s="747">
        <v>15.41</v>
      </c>
      <c r="E58" s="725">
        <v>6.28</v>
      </c>
      <c r="F58" s="801">
        <v>7.53</v>
      </c>
      <c r="G58" s="675"/>
      <c r="H58" s="651"/>
      <c r="I58" s="652"/>
      <c r="J58" s="720">
        <v>1.89</v>
      </c>
      <c r="K58" s="796">
        <v>5.5</v>
      </c>
      <c r="L58" s="802">
        <v>0.63</v>
      </c>
      <c r="M58" s="803">
        <v>1.36</v>
      </c>
      <c r="N58" s="706">
        <v>1.82</v>
      </c>
      <c r="O58" s="712">
        <v>2.4500000000000002</v>
      </c>
      <c r="P58" s="840">
        <v>23.97</v>
      </c>
      <c r="Q58" s="836">
        <v>0.7</v>
      </c>
      <c r="R58" s="720">
        <v>0.76</v>
      </c>
      <c r="S58" s="625">
        <v>1.8</v>
      </c>
      <c r="T58" s="786">
        <v>20</v>
      </c>
      <c r="U58" s="787">
        <v>30</v>
      </c>
      <c r="V58" s="847">
        <v>0.9</v>
      </c>
      <c r="W58" s="831">
        <v>4.5</v>
      </c>
      <c r="X58" s="832">
        <v>6</v>
      </c>
      <c r="Y58" s="833">
        <v>11</v>
      </c>
      <c r="Z58" s="168">
        <v>1</v>
      </c>
      <c r="AA58" s="168">
        <v>2</v>
      </c>
      <c r="AB58" s="168">
        <v>60</v>
      </c>
      <c r="AC58" s="85">
        <v>90</v>
      </c>
      <c r="AD58" s="85">
        <v>10</v>
      </c>
    </row>
    <row r="59" spans="1:30" x14ac:dyDescent="0.25">
      <c r="A59" s="72"/>
      <c r="B59" s="698" t="s">
        <v>71</v>
      </c>
      <c r="C59" s="695">
        <v>0.14000000000000001</v>
      </c>
      <c r="D59" s="740">
        <v>14.78</v>
      </c>
      <c r="E59" s="725">
        <v>5.56</v>
      </c>
      <c r="F59" s="801">
        <v>7.27</v>
      </c>
      <c r="G59" s="675"/>
      <c r="H59" s="651"/>
      <c r="I59" s="652"/>
      <c r="J59" s="720">
        <v>1.89</v>
      </c>
      <c r="K59" s="796">
        <v>5.5</v>
      </c>
      <c r="L59" s="802">
        <v>0.63</v>
      </c>
      <c r="M59" s="803">
        <v>1.36</v>
      </c>
      <c r="N59" s="706">
        <v>1.82</v>
      </c>
      <c r="O59" s="712">
        <v>2.4500000000000002</v>
      </c>
      <c r="P59" s="840">
        <v>23.97</v>
      </c>
      <c r="Q59" s="836">
        <v>0.7</v>
      </c>
      <c r="R59" s="720">
        <v>0.76</v>
      </c>
      <c r="S59" s="625">
        <v>1.8</v>
      </c>
      <c r="T59" s="786">
        <v>20</v>
      </c>
      <c r="U59" s="787">
        <v>30</v>
      </c>
      <c r="V59" s="847">
        <v>0.9</v>
      </c>
      <c r="W59" s="831">
        <v>4.5</v>
      </c>
      <c r="X59" s="832">
        <v>6</v>
      </c>
      <c r="Y59" s="833">
        <v>11</v>
      </c>
      <c r="Z59" s="168">
        <v>1</v>
      </c>
      <c r="AA59" s="168">
        <v>2</v>
      </c>
      <c r="AB59" s="168">
        <v>60</v>
      </c>
      <c r="AC59" s="85">
        <v>90</v>
      </c>
      <c r="AD59" s="85">
        <v>10</v>
      </c>
    </row>
    <row r="60" spans="1:30" x14ac:dyDescent="0.25">
      <c r="A60" s="72"/>
      <c r="B60" s="698" t="s">
        <v>304</v>
      </c>
      <c r="C60" s="695">
        <v>0.14000000000000001</v>
      </c>
      <c r="D60" s="740">
        <v>13.39</v>
      </c>
      <c r="E60" s="725">
        <v>4.95</v>
      </c>
      <c r="F60" s="801">
        <v>7.06</v>
      </c>
      <c r="G60" s="675"/>
      <c r="H60" s="651"/>
      <c r="I60" s="652"/>
      <c r="J60" s="720">
        <v>1.89</v>
      </c>
      <c r="K60" s="796">
        <v>5.5</v>
      </c>
      <c r="L60" s="802">
        <v>0.63</v>
      </c>
      <c r="M60" s="803">
        <v>1.36</v>
      </c>
      <c r="N60" s="706">
        <v>1.82</v>
      </c>
      <c r="O60" s="712">
        <v>2.4500000000000002</v>
      </c>
      <c r="P60" s="833">
        <v>23.97</v>
      </c>
      <c r="Q60" s="836">
        <v>0.7</v>
      </c>
      <c r="R60" s="720">
        <v>0.76</v>
      </c>
      <c r="S60" s="625">
        <v>1.8</v>
      </c>
      <c r="T60" s="786">
        <v>20</v>
      </c>
      <c r="U60" s="787">
        <v>30</v>
      </c>
      <c r="V60" s="847">
        <v>0.9</v>
      </c>
      <c r="W60" s="831">
        <v>4.5</v>
      </c>
      <c r="X60" s="832">
        <v>6</v>
      </c>
      <c r="Y60" s="833">
        <v>11</v>
      </c>
      <c r="Z60" s="168">
        <v>1</v>
      </c>
      <c r="AA60" s="168">
        <v>2</v>
      </c>
      <c r="AB60" s="168">
        <v>60</v>
      </c>
      <c r="AC60" s="85">
        <v>90</v>
      </c>
      <c r="AD60" s="85">
        <v>10</v>
      </c>
    </row>
    <row r="61" spans="1:30" x14ac:dyDescent="0.25">
      <c r="A61" s="73"/>
      <c r="B61" s="74" t="s">
        <v>72</v>
      </c>
      <c r="C61" s="696">
        <v>0.3</v>
      </c>
      <c r="D61" s="736">
        <v>22.1</v>
      </c>
      <c r="E61" s="730">
        <v>9.6199999999999992</v>
      </c>
      <c r="F61" s="792">
        <v>8.8000000000000007</v>
      </c>
      <c r="G61" s="777"/>
      <c r="H61" s="778"/>
      <c r="I61" s="779"/>
      <c r="J61" s="696">
        <v>3.6</v>
      </c>
      <c r="K61" s="796">
        <v>5.5</v>
      </c>
      <c r="L61" s="696">
        <v>1</v>
      </c>
      <c r="M61" s="805">
        <v>2.46</v>
      </c>
      <c r="N61" s="745">
        <v>3.51</v>
      </c>
      <c r="O61" s="746">
        <v>4.8</v>
      </c>
      <c r="P61" s="838">
        <v>25.71</v>
      </c>
      <c r="Q61" s="836">
        <v>1</v>
      </c>
      <c r="R61" s="696">
        <v>1.5</v>
      </c>
      <c r="S61" s="625">
        <v>1.8</v>
      </c>
      <c r="T61" s="780">
        <v>20</v>
      </c>
      <c r="U61" s="781">
        <v>30</v>
      </c>
      <c r="V61" s="847">
        <v>0.9</v>
      </c>
      <c r="W61" s="740">
        <v>3.33</v>
      </c>
      <c r="X61" s="804">
        <v>6</v>
      </c>
      <c r="Y61" s="774">
        <v>11</v>
      </c>
      <c r="Z61" s="168">
        <v>1</v>
      </c>
      <c r="AA61" s="168">
        <v>2</v>
      </c>
      <c r="AB61" s="168">
        <v>60</v>
      </c>
      <c r="AC61" s="85">
        <v>90</v>
      </c>
      <c r="AD61" s="85">
        <v>10</v>
      </c>
    </row>
    <row r="62" spans="1:30" x14ac:dyDescent="0.25">
      <c r="A62" s="72"/>
      <c r="B62" s="68" t="s">
        <v>73</v>
      </c>
      <c r="C62" s="697">
        <v>4.0000000000000001E-3</v>
      </c>
      <c r="D62" s="754">
        <v>0.81</v>
      </c>
      <c r="E62" s="755">
        <v>0.42</v>
      </c>
      <c r="F62" s="755">
        <v>0.4</v>
      </c>
      <c r="G62" s="756"/>
      <c r="H62" s="757"/>
      <c r="I62" s="758"/>
      <c r="J62" s="759"/>
      <c r="K62" s="682"/>
      <c r="L62" s="807">
        <v>3.55</v>
      </c>
      <c r="M62" s="808">
        <v>2.3400000000000001E-2</v>
      </c>
      <c r="N62" s="808">
        <v>2.3400000000000001E-2</v>
      </c>
      <c r="O62" s="808">
        <v>2.3400000000000001E-2</v>
      </c>
      <c r="P62" s="740">
        <v>50</v>
      </c>
      <c r="Q62" s="844">
        <v>0</v>
      </c>
      <c r="R62" s="810">
        <v>0</v>
      </c>
      <c r="S62" s="685"/>
      <c r="T62" s="782">
        <v>40</v>
      </c>
      <c r="U62" s="783">
        <v>40</v>
      </c>
      <c r="V62" s="847">
        <v>0.7</v>
      </c>
      <c r="W62" s="705"/>
      <c r="X62" s="806"/>
      <c r="Y62" s="749"/>
      <c r="Z62" s="168">
        <v>5</v>
      </c>
      <c r="AA62" s="168">
        <v>5</v>
      </c>
      <c r="AB62" s="168">
        <v>50</v>
      </c>
      <c r="AC62" s="85">
        <v>90</v>
      </c>
      <c r="AD62" s="85">
        <v>45</v>
      </c>
    </row>
    <row r="63" spans="1:30" x14ac:dyDescent="0.25">
      <c r="A63" s="72"/>
      <c r="B63" s="68" t="s">
        <v>74</v>
      </c>
      <c r="C63" s="697">
        <v>4.0000000000000001E-3</v>
      </c>
      <c r="D63" s="754">
        <v>0.78</v>
      </c>
      <c r="E63" s="755">
        <v>0.37</v>
      </c>
      <c r="F63" s="755">
        <v>0.4</v>
      </c>
      <c r="G63" s="756"/>
      <c r="H63" s="757"/>
      <c r="I63" s="758"/>
      <c r="J63" s="759"/>
      <c r="K63" s="682"/>
      <c r="L63" s="807">
        <v>3.51</v>
      </c>
      <c r="M63" s="808">
        <v>2.3400000000000001E-2</v>
      </c>
      <c r="N63" s="808">
        <v>2.3400000000000001E-2</v>
      </c>
      <c r="O63" s="808">
        <v>2.3400000000000001E-2</v>
      </c>
      <c r="P63" s="740">
        <v>50</v>
      </c>
      <c r="Q63" s="683">
        <v>0</v>
      </c>
      <c r="R63" s="810">
        <v>0</v>
      </c>
      <c r="S63" s="685"/>
      <c r="T63" s="782">
        <v>40</v>
      </c>
      <c r="U63" s="783">
        <v>40</v>
      </c>
      <c r="V63" s="847">
        <v>0.7</v>
      </c>
      <c r="W63" s="705"/>
      <c r="X63" s="806"/>
      <c r="Y63" s="749"/>
      <c r="Z63" s="168">
        <v>5</v>
      </c>
      <c r="AA63" s="168">
        <v>5</v>
      </c>
      <c r="AB63" s="168">
        <v>50</v>
      </c>
      <c r="AC63" s="85">
        <v>90</v>
      </c>
      <c r="AD63" s="85">
        <v>45</v>
      </c>
    </row>
    <row r="64" spans="1:30" x14ac:dyDescent="0.25">
      <c r="A64" s="72"/>
      <c r="B64" s="68" t="s">
        <v>75</v>
      </c>
      <c r="C64" s="697">
        <v>4.0000000000000001E-3</v>
      </c>
      <c r="D64" s="754">
        <v>0.28999999999999998</v>
      </c>
      <c r="E64" s="755">
        <v>0.19</v>
      </c>
      <c r="F64" s="755">
        <v>0.17</v>
      </c>
      <c r="G64" s="756"/>
      <c r="H64" s="757"/>
      <c r="I64" s="758"/>
      <c r="J64" s="720">
        <v>0.09</v>
      </c>
      <c r="K64" s="793">
        <v>50</v>
      </c>
      <c r="L64" s="807">
        <v>2.02</v>
      </c>
      <c r="M64" s="808">
        <v>7.4000000000000003E-3</v>
      </c>
      <c r="N64" s="808">
        <v>7.4000000000000003E-3</v>
      </c>
      <c r="O64" s="808">
        <v>7.4000000000000003E-3</v>
      </c>
      <c r="P64" s="740">
        <v>50</v>
      </c>
      <c r="Q64" s="683">
        <v>0</v>
      </c>
      <c r="R64" s="810">
        <v>0</v>
      </c>
      <c r="S64" s="685"/>
      <c r="T64" s="782">
        <v>40</v>
      </c>
      <c r="U64" s="783">
        <v>40</v>
      </c>
      <c r="V64" s="847">
        <v>0.7</v>
      </c>
      <c r="W64" s="705"/>
      <c r="X64" s="806"/>
      <c r="Y64" s="749"/>
      <c r="Z64" s="168">
        <v>5</v>
      </c>
      <c r="AA64" s="168">
        <v>5</v>
      </c>
      <c r="AB64" s="168">
        <v>50</v>
      </c>
      <c r="AC64" s="85">
        <v>90</v>
      </c>
      <c r="AD64" s="85">
        <v>45</v>
      </c>
    </row>
    <row r="65" spans="1:30" x14ac:dyDescent="0.25">
      <c r="A65" s="72"/>
      <c r="B65" s="68" t="s">
        <v>76</v>
      </c>
      <c r="C65" s="697">
        <v>4.0000000000000001E-3</v>
      </c>
      <c r="D65" s="754">
        <v>0.27</v>
      </c>
      <c r="E65" s="755">
        <v>0.16</v>
      </c>
      <c r="F65" s="755">
        <v>0.16</v>
      </c>
      <c r="G65" s="756"/>
      <c r="H65" s="757"/>
      <c r="I65" s="758"/>
      <c r="J65" s="720">
        <v>0.09</v>
      </c>
      <c r="K65" s="793">
        <v>50</v>
      </c>
      <c r="L65" s="807">
        <v>2.02</v>
      </c>
      <c r="M65" s="808">
        <v>7.4000000000000003E-3</v>
      </c>
      <c r="N65" s="808">
        <v>7.4000000000000003E-3</v>
      </c>
      <c r="O65" s="808">
        <v>7.4000000000000003E-3</v>
      </c>
      <c r="P65" s="740">
        <v>50</v>
      </c>
      <c r="Q65" s="683">
        <v>0</v>
      </c>
      <c r="R65" s="810">
        <v>0</v>
      </c>
      <c r="S65" s="685"/>
      <c r="T65" s="782">
        <v>40</v>
      </c>
      <c r="U65" s="783">
        <v>40</v>
      </c>
      <c r="V65" s="847">
        <v>0.7</v>
      </c>
      <c r="W65" s="705"/>
      <c r="X65" s="806"/>
      <c r="Y65" s="749"/>
      <c r="Z65" s="168">
        <v>5</v>
      </c>
      <c r="AA65" s="168">
        <v>5</v>
      </c>
      <c r="AB65" s="168">
        <v>50</v>
      </c>
      <c r="AC65" s="85">
        <v>90</v>
      </c>
      <c r="AD65" s="85">
        <v>45</v>
      </c>
    </row>
    <row r="66" spans="1:30" x14ac:dyDescent="0.25">
      <c r="A66" s="64"/>
      <c r="B66" s="75" t="s">
        <v>77</v>
      </c>
      <c r="C66" s="697">
        <v>4.0000000000000001E-3</v>
      </c>
      <c r="D66" s="740">
        <v>0.52</v>
      </c>
      <c r="E66" s="741">
        <v>0.25</v>
      </c>
      <c r="F66" s="760">
        <v>0.28000000000000003</v>
      </c>
      <c r="G66" s="756"/>
      <c r="H66" s="757"/>
      <c r="I66" s="758"/>
      <c r="J66" s="720"/>
      <c r="K66" s="794"/>
      <c r="L66" s="807">
        <v>1.86</v>
      </c>
      <c r="M66" s="809">
        <v>1.4800000000000001E-2</v>
      </c>
      <c r="N66" s="809">
        <v>1.4800000000000001E-2</v>
      </c>
      <c r="O66" s="809">
        <v>1.4800000000000001E-2</v>
      </c>
      <c r="P66" s="740">
        <v>60</v>
      </c>
      <c r="Q66" s="683">
        <v>0</v>
      </c>
      <c r="R66" s="810">
        <v>0</v>
      </c>
      <c r="S66" s="685"/>
      <c r="T66" s="782">
        <v>40</v>
      </c>
      <c r="U66" s="783">
        <v>40</v>
      </c>
      <c r="V66" s="847">
        <v>0.7</v>
      </c>
      <c r="W66" s="705"/>
      <c r="X66" s="806"/>
      <c r="Y66" s="749"/>
      <c r="Z66" s="168">
        <v>5</v>
      </c>
      <c r="AA66" s="168">
        <v>5</v>
      </c>
      <c r="AB66" s="168">
        <v>50</v>
      </c>
      <c r="AC66" s="85">
        <v>90</v>
      </c>
      <c r="AD66" s="85">
        <v>45</v>
      </c>
    </row>
    <row r="67" spans="1:30" x14ac:dyDescent="0.25">
      <c r="A67" s="64"/>
      <c r="B67" s="119" t="s">
        <v>78</v>
      </c>
      <c r="C67" s="697">
        <v>4.0000000000000001E-3</v>
      </c>
      <c r="D67" s="740">
        <v>0.48</v>
      </c>
      <c r="E67" s="741">
        <v>0.23</v>
      </c>
      <c r="F67" s="760">
        <v>0.28000000000000003</v>
      </c>
      <c r="G67" s="756"/>
      <c r="H67" s="757"/>
      <c r="I67" s="758"/>
      <c r="J67" s="720"/>
      <c r="K67" s="794"/>
      <c r="L67" s="807">
        <v>1.86</v>
      </c>
      <c r="M67" s="809">
        <v>1.4800000000000001E-2</v>
      </c>
      <c r="N67" s="809">
        <v>1.4800000000000001E-2</v>
      </c>
      <c r="O67" s="809">
        <v>1.4800000000000001E-2</v>
      </c>
      <c r="P67" s="740">
        <v>60</v>
      </c>
      <c r="Q67" s="683">
        <v>0</v>
      </c>
      <c r="R67" s="810">
        <v>0</v>
      </c>
      <c r="S67" s="685"/>
      <c r="T67" s="782">
        <v>40</v>
      </c>
      <c r="U67" s="783">
        <v>40</v>
      </c>
      <c r="V67" s="847">
        <v>0.7</v>
      </c>
      <c r="W67" s="705"/>
      <c r="X67" s="806"/>
      <c r="Y67" s="749"/>
      <c r="Z67" s="168">
        <v>5</v>
      </c>
      <c r="AA67" s="168">
        <v>5</v>
      </c>
      <c r="AB67" s="168">
        <v>50</v>
      </c>
      <c r="AC67" s="85">
        <v>90</v>
      </c>
      <c r="AD67" s="85">
        <v>45</v>
      </c>
    </row>
    <row r="68" spans="1:30" x14ac:dyDescent="0.25">
      <c r="A68" s="64"/>
      <c r="B68" s="75" t="s">
        <v>79</v>
      </c>
      <c r="C68" s="697">
        <v>4.0000000000000001E-3</v>
      </c>
      <c r="D68" s="740">
        <v>2.42</v>
      </c>
      <c r="E68" s="725">
        <v>1.37</v>
      </c>
      <c r="F68" s="760">
        <v>1.17</v>
      </c>
      <c r="G68" s="756"/>
      <c r="H68" s="757"/>
      <c r="I68" s="758"/>
      <c r="J68" s="720">
        <v>0.28999999999999998</v>
      </c>
      <c r="K68" s="793">
        <v>50</v>
      </c>
      <c r="L68" s="807">
        <v>21.7</v>
      </c>
      <c r="M68" s="809">
        <v>5.4699999999999999E-2</v>
      </c>
      <c r="N68" s="809">
        <v>5.4699999999999999E-2</v>
      </c>
      <c r="O68" s="809">
        <v>5.4699999999999999E-2</v>
      </c>
      <c r="P68" s="740">
        <v>50</v>
      </c>
      <c r="Q68" s="683">
        <v>0</v>
      </c>
      <c r="R68" s="810">
        <v>0</v>
      </c>
      <c r="S68" s="685"/>
      <c r="T68" s="782">
        <v>40</v>
      </c>
      <c r="U68" s="783">
        <v>40</v>
      </c>
      <c r="V68" s="847">
        <v>0.7</v>
      </c>
      <c r="W68" s="705"/>
      <c r="X68" s="806"/>
      <c r="Y68" s="749"/>
      <c r="Z68" s="168">
        <v>5</v>
      </c>
      <c r="AA68" s="168">
        <v>5</v>
      </c>
      <c r="AB68" s="168">
        <v>50</v>
      </c>
      <c r="AC68" s="85">
        <v>90</v>
      </c>
      <c r="AD68" s="85">
        <v>45</v>
      </c>
    </row>
    <row r="69" spans="1:30" x14ac:dyDescent="0.25">
      <c r="A69" s="64"/>
      <c r="B69" s="75" t="s">
        <v>80</v>
      </c>
      <c r="C69" s="697">
        <v>4.0000000000000001E-3</v>
      </c>
      <c r="D69" s="740">
        <v>2.25</v>
      </c>
      <c r="E69" s="741">
        <v>1.06</v>
      </c>
      <c r="F69" s="760">
        <v>1.1100000000000001</v>
      </c>
      <c r="G69" s="756"/>
      <c r="H69" s="757"/>
      <c r="I69" s="758"/>
      <c r="J69" s="720">
        <v>0.28999999999999998</v>
      </c>
      <c r="K69" s="793">
        <v>50</v>
      </c>
      <c r="L69" s="807">
        <v>21.7</v>
      </c>
      <c r="M69" s="809">
        <v>5.4699999999999999E-2</v>
      </c>
      <c r="N69" s="809">
        <v>5.4699999999999999E-2</v>
      </c>
      <c r="O69" s="809">
        <v>5.4699999999999999E-2</v>
      </c>
      <c r="P69" s="740">
        <v>50</v>
      </c>
      <c r="Q69" s="683">
        <v>0</v>
      </c>
      <c r="R69" s="810">
        <v>0</v>
      </c>
      <c r="S69" s="685"/>
      <c r="T69" s="782">
        <v>40</v>
      </c>
      <c r="U69" s="783">
        <v>40</v>
      </c>
      <c r="V69" s="847">
        <v>0.7</v>
      </c>
      <c r="W69" s="705"/>
      <c r="X69" s="806"/>
      <c r="Y69" s="749"/>
      <c r="Z69" s="168">
        <v>5</v>
      </c>
      <c r="AA69" s="168">
        <v>5</v>
      </c>
      <c r="AB69" s="168">
        <v>50</v>
      </c>
      <c r="AC69" s="85">
        <v>90</v>
      </c>
      <c r="AD69" s="85">
        <v>45</v>
      </c>
    </row>
    <row r="70" spans="1:30" x14ac:dyDescent="0.25">
      <c r="A70" s="64"/>
      <c r="B70" s="75" t="s">
        <v>81</v>
      </c>
      <c r="C70" s="697">
        <v>4.0000000000000001E-3</v>
      </c>
      <c r="D70" s="747">
        <v>1.72</v>
      </c>
      <c r="E70" s="725">
        <v>0.94</v>
      </c>
      <c r="F70" s="760">
        <v>0.96</v>
      </c>
      <c r="G70" s="756"/>
      <c r="H70" s="757"/>
      <c r="I70" s="758"/>
      <c r="J70" s="759"/>
      <c r="K70" s="682"/>
      <c r="L70" s="807">
        <v>17.399999999999999</v>
      </c>
      <c r="M70" s="809">
        <v>6.0900000000000003E-2</v>
      </c>
      <c r="N70" s="809">
        <v>6.0900000000000003E-2</v>
      </c>
      <c r="O70" s="809">
        <v>6.0900000000000003E-2</v>
      </c>
      <c r="P70" s="740">
        <v>50</v>
      </c>
      <c r="Q70" s="683">
        <v>0</v>
      </c>
      <c r="R70" s="810">
        <v>0</v>
      </c>
      <c r="S70" s="685"/>
      <c r="T70" s="782">
        <v>40</v>
      </c>
      <c r="U70" s="783">
        <v>40</v>
      </c>
      <c r="V70" s="847">
        <v>0.7</v>
      </c>
      <c r="W70" s="705"/>
      <c r="X70" s="806"/>
      <c r="Y70" s="749"/>
      <c r="Z70" s="168">
        <v>5</v>
      </c>
      <c r="AA70" s="168">
        <v>5</v>
      </c>
      <c r="AB70" s="168">
        <v>50</v>
      </c>
      <c r="AC70" s="85">
        <v>90</v>
      </c>
      <c r="AD70" s="85">
        <v>45</v>
      </c>
    </row>
    <row r="71" spans="1:30" x14ac:dyDescent="0.25">
      <c r="A71" s="64"/>
      <c r="B71" s="75" t="s">
        <v>82</v>
      </c>
      <c r="C71" s="697">
        <v>4.0000000000000001E-3</v>
      </c>
      <c r="D71" s="740">
        <v>1.62</v>
      </c>
      <c r="E71" s="741">
        <v>0.66</v>
      </c>
      <c r="F71" s="760">
        <v>0.92</v>
      </c>
      <c r="G71" s="756"/>
      <c r="H71" s="757"/>
      <c r="I71" s="758"/>
      <c r="J71" s="759"/>
      <c r="K71" s="682"/>
      <c r="L71" s="807">
        <v>17.399999999999999</v>
      </c>
      <c r="M71" s="809">
        <v>6.0900000000000003E-2</v>
      </c>
      <c r="N71" s="809">
        <v>6.0900000000000003E-2</v>
      </c>
      <c r="O71" s="809">
        <v>6.0900000000000003E-2</v>
      </c>
      <c r="P71" s="740">
        <v>50</v>
      </c>
      <c r="Q71" s="683">
        <v>0</v>
      </c>
      <c r="R71" s="810">
        <v>0</v>
      </c>
      <c r="S71" s="685"/>
      <c r="T71" s="782">
        <v>40</v>
      </c>
      <c r="U71" s="783">
        <v>40</v>
      </c>
      <c r="V71" s="847">
        <v>0.7</v>
      </c>
      <c r="W71" s="705"/>
      <c r="X71" s="806"/>
      <c r="Y71" s="749"/>
      <c r="Z71" s="168">
        <v>5</v>
      </c>
      <c r="AA71" s="168">
        <v>5</v>
      </c>
      <c r="AB71" s="168">
        <v>50</v>
      </c>
      <c r="AC71" s="85">
        <v>90</v>
      </c>
      <c r="AD71" s="85">
        <v>45</v>
      </c>
    </row>
    <row r="72" spans="1:30" s="621" customFormat="1" x14ac:dyDescent="0.25">
      <c r="A72" s="876"/>
      <c r="B72" s="877" t="s">
        <v>83</v>
      </c>
      <c r="C72" s="878">
        <v>4.0000000000000001E-3</v>
      </c>
      <c r="D72" s="879">
        <v>1.87</v>
      </c>
      <c r="E72" s="880">
        <v>0.57999999999999996</v>
      </c>
      <c r="F72" s="881">
        <v>1.79</v>
      </c>
      <c r="G72" s="882"/>
      <c r="H72" s="883"/>
      <c r="I72" s="884"/>
      <c r="J72" s="885"/>
      <c r="K72" s="885"/>
      <c r="L72" s="886">
        <v>53.3</v>
      </c>
      <c r="M72" s="887">
        <f>105.328571428571/1000</f>
        <v>0.10532857142857099</v>
      </c>
      <c r="N72" s="887">
        <f>105.328571428571/1000</f>
        <v>0.10532857142857099</v>
      </c>
      <c r="O72" s="887">
        <f>105.328571428571/1000</f>
        <v>0.10532857142857099</v>
      </c>
      <c r="P72" s="879">
        <v>30</v>
      </c>
      <c r="Q72" s="888">
        <v>0</v>
      </c>
      <c r="R72" s="889">
        <v>0</v>
      </c>
      <c r="S72" s="890"/>
      <c r="T72" s="891">
        <v>40</v>
      </c>
      <c r="U72" s="892">
        <v>40</v>
      </c>
      <c r="V72" s="893">
        <v>0.7</v>
      </c>
      <c r="W72" s="891"/>
      <c r="X72" s="894"/>
      <c r="Y72" s="895"/>
      <c r="Z72" s="896">
        <v>5</v>
      </c>
      <c r="AA72" s="896">
        <v>5</v>
      </c>
      <c r="AB72" s="896">
        <v>50</v>
      </c>
      <c r="AC72" s="621">
        <v>90</v>
      </c>
      <c r="AD72" s="621">
        <v>45</v>
      </c>
    </row>
    <row r="73" spans="1:30" x14ac:dyDescent="0.25">
      <c r="A73" s="72"/>
      <c r="B73" s="75" t="s">
        <v>84</v>
      </c>
      <c r="C73" s="697">
        <v>4.0000000000000001E-3</v>
      </c>
      <c r="D73" s="740">
        <v>0.71</v>
      </c>
      <c r="E73" s="741">
        <v>0.4</v>
      </c>
      <c r="F73" s="760">
        <v>0.38</v>
      </c>
      <c r="G73" s="756"/>
      <c r="H73" s="757"/>
      <c r="I73" s="758"/>
      <c r="J73" s="759"/>
      <c r="K73" s="682"/>
      <c r="L73" s="807">
        <v>6.4</v>
      </c>
      <c r="M73" s="809">
        <f>67.3846153846154/1000</f>
        <v>6.7384615384615404E-2</v>
      </c>
      <c r="N73" s="809">
        <f>67.3846153846154/1000</f>
        <v>6.7384615384615404E-2</v>
      </c>
      <c r="O73" s="809">
        <f>67.3846153846154/1000</f>
        <v>6.7384615384615404E-2</v>
      </c>
      <c r="P73" s="740">
        <v>30</v>
      </c>
      <c r="Q73" s="683">
        <v>0</v>
      </c>
      <c r="R73" s="810">
        <v>0</v>
      </c>
      <c r="S73" s="685"/>
      <c r="T73" s="782">
        <v>40</v>
      </c>
      <c r="U73" s="783">
        <v>40</v>
      </c>
      <c r="V73" s="847">
        <v>0.7</v>
      </c>
      <c r="W73" s="705"/>
      <c r="X73" s="806"/>
      <c r="Y73" s="749"/>
      <c r="Z73" s="168">
        <v>5</v>
      </c>
      <c r="AA73" s="168">
        <v>5</v>
      </c>
      <c r="AB73" s="168">
        <v>50</v>
      </c>
      <c r="AC73" s="85">
        <v>90</v>
      </c>
      <c r="AD73" s="85">
        <v>45</v>
      </c>
    </row>
    <row r="74" spans="1:30" x14ac:dyDescent="0.25">
      <c r="A74" s="72"/>
      <c r="B74" s="75" t="s">
        <v>85</v>
      </c>
      <c r="C74" s="697">
        <v>4.0000000000000001E-3</v>
      </c>
      <c r="D74" s="740">
        <v>0.63</v>
      </c>
      <c r="E74" s="741">
        <v>0.4</v>
      </c>
      <c r="F74" s="760">
        <v>0.31</v>
      </c>
      <c r="G74" s="756"/>
      <c r="H74" s="757"/>
      <c r="I74" s="758"/>
      <c r="J74" s="759"/>
      <c r="K74" s="682"/>
      <c r="L74" s="807">
        <v>6</v>
      </c>
      <c r="M74" s="809">
        <f>49.9702380952381/1000</f>
        <v>4.9970238095238102E-2</v>
      </c>
      <c r="N74" s="809">
        <f>49.9702380952381/1000</f>
        <v>4.9970238095238102E-2</v>
      </c>
      <c r="O74" s="809">
        <f>49.9702380952381/1000</f>
        <v>4.9970238095238102E-2</v>
      </c>
      <c r="P74" s="740">
        <v>30</v>
      </c>
      <c r="Q74" s="683">
        <v>0</v>
      </c>
      <c r="R74" s="810">
        <v>0</v>
      </c>
      <c r="S74" s="685"/>
      <c r="T74" s="782">
        <v>40</v>
      </c>
      <c r="U74" s="783">
        <v>40</v>
      </c>
      <c r="V74" s="847">
        <v>0.7</v>
      </c>
      <c r="W74" s="705"/>
      <c r="X74" s="806"/>
      <c r="Y74" s="749"/>
      <c r="Z74" s="168">
        <v>5</v>
      </c>
      <c r="AA74" s="168">
        <v>5</v>
      </c>
      <c r="AB74" s="168">
        <v>50</v>
      </c>
      <c r="AC74" s="85">
        <v>90</v>
      </c>
      <c r="AD74" s="85">
        <v>45</v>
      </c>
    </row>
    <row r="75" spans="1:30" x14ac:dyDescent="0.25">
      <c r="A75" s="76"/>
      <c r="B75" s="68"/>
      <c r="C75" s="677"/>
      <c r="D75" s="678"/>
      <c r="E75" s="676"/>
      <c r="F75" s="679"/>
      <c r="G75" s="675"/>
      <c r="H75" s="680"/>
      <c r="I75" s="681"/>
      <c r="J75" s="674"/>
      <c r="K75" s="682"/>
      <c r="L75" s="654"/>
      <c r="M75" s="688"/>
      <c r="N75" s="688"/>
      <c r="O75" s="689"/>
      <c r="P75" s="795"/>
      <c r="Q75" s="683"/>
      <c r="R75" s="684"/>
      <c r="S75" s="685"/>
      <c r="T75" s="650"/>
      <c r="U75" s="673"/>
      <c r="V75" s="847"/>
      <c r="W75" s="686"/>
      <c r="X75" s="686"/>
      <c r="Y75" s="686"/>
      <c r="Z75" s="168"/>
      <c r="AA75" s="168"/>
      <c r="AB75" s="168"/>
    </row>
    <row r="76" spans="1:30" x14ac:dyDescent="0.25">
      <c r="A76" s="72"/>
      <c r="B76" s="68" t="s">
        <v>283</v>
      </c>
      <c r="C76" s="695">
        <v>0.05</v>
      </c>
      <c r="D76" s="747">
        <v>5.93</v>
      </c>
      <c r="E76" s="741">
        <v>1.9</v>
      </c>
      <c r="F76" s="742">
        <v>6.5</v>
      </c>
      <c r="G76" s="756"/>
      <c r="H76" s="757"/>
      <c r="I76" s="758"/>
      <c r="J76" s="759"/>
      <c r="K76" s="682"/>
      <c r="L76" s="694">
        <v>0.2</v>
      </c>
      <c r="M76" s="773">
        <v>0.38</v>
      </c>
      <c r="N76" s="773">
        <v>0.38</v>
      </c>
      <c r="O76" s="773">
        <v>0.38</v>
      </c>
      <c r="P76" s="796">
        <v>50</v>
      </c>
      <c r="Q76" s="683">
        <v>0</v>
      </c>
      <c r="R76" s="810">
        <v>0</v>
      </c>
      <c r="S76" s="685"/>
      <c r="T76" s="782">
        <v>45</v>
      </c>
      <c r="U76" s="783">
        <v>45</v>
      </c>
      <c r="V76" s="847">
        <v>0.9</v>
      </c>
      <c r="W76" s="824"/>
      <c r="X76" s="825"/>
      <c r="Y76" s="826"/>
      <c r="Z76" s="168">
        <v>1</v>
      </c>
      <c r="AA76" s="168">
        <v>2</v>
      </c>
      <c r="AB76" s="168">
        <v>50</v>
      </c>
      <c r="AC76" s="85">
        <v>90</v>
      </c>
      <c r="AD76" s="85">
        <v>10</v>
      </c>
    </row>
    <row r="77" spans="1:30" x14ac:dyDescent="0.25">
      <c r="A77" s="72"/>
      <c r="B77" s="68" t="s">
        <v>284</v>
      </c>
      <c r="C77" s="694">
        <v>0.1</v>
      </c>
      <c r="D77" s="747">
        <v>14.17</v>
      </c>
      <c r="E77" s="725">
        <v>4.29</v>
      </c>
      <c r="F77" s="742">
        <v>15.5</v>
      </c>
      <c r="G77" s="756"/>
      <c r="H77" s="757"/>
      <c r="I77" s="758"/>
      <c r="J77" s="759"/>
      <c r="K77" s="682"/>
      <c r="L77" s="694">
        <v>0.4</v>
      </c>
      <c r="M77" s="773">
        <v>0.73</v>
      </c>
      <c r="N77" s="773">
        <v>0.73</v>
      </c>
      <c r="O77" s="773">
        <v>0.73</v>
      </c>
      <c r="P77" s="796">
        <v>50</v>
      </c>
      <c r="Q77" s="683">
        <v>0</v>
      </c>
      <c r="R77" s="810">
        <v>0</v>
      </c>
      <c r="S77" s="685"/>
      <c r="T77" s="782">
        <v>45</v>
      </c>
      <c r="U77" s="783">
        <v>45</v>
      </c>
      <c r="V77" s="847">
        <v>0.9</v>
      </c>
      <c r="W77" s="824"/>
      <c r="X77" s="825"/>
      <c r="Y77" s="826"/>
      <c r="Z77" s="168">
        <v>1</v>
      </c>
      <c r="AA77" s="168">
        <v>2</v>
      </c>
      <c r="AB77" s="168">
        <v>50</v>
      </c>
      <c r="AC77" s="85">
        <v>90</v>
      </c>
      <c r="AD77" s="85">
        <v>10</v>
      </c>
    </row>
    <row r="78" spans="1:30" x14ac:dyDescent="0.25">
      <c r="A78" s="72"/>
      <c r="B78" s="75" t="s">
        <v>86</v>
      </c>
      <c r="C78" s="695">
        <v>0.12</v>
      </c>
      <c r="D78" s="740">
        <v>15.2</v>
      </c>
      <c r="E78" s="725">
        <v>5.73</v>
      </c>
      <c r="F78" s="742">
        <v>18</v>
      </c>
      <c r="G78" s="756"/>
      <c r="H78" s="757"/>
      <c r="I78" s="758"/>
      <c r="J78" s="759"/>
      <c r="K78" s="682"/>
      <c r="L78" s="694">
        <v>0.6</v>
      </c>
      <c r="M78" s="774">
        <v>1</v>
      </c>
      <c r="N78" s="774">
        <v>1</v>
      </c>
      <c r="O78" s="774">
        <v>1</v>
      </c>
      <c r="P78" s="796">
        <v>50</v>
      </c>
      <c r="Q78" s="683">
        <v>0</v>
      </c>
      <c r="R78" s="810">
        <v>0</v>
      </c>
      <c r="S78" s="685"/>
      <c r="T78" s="782">
        <v>45</v>
      </c>
      <c r="U78" s="783">
        <v>45</v>
      </c>
      <c r="V78" s="847">
        <v>0.9</v>
      </c>
      <c r="W78" s="824"/>
      <c r="X78" s="825"/>
      <c r="Y78" s="826"/>
      <c r="Z78" s="168">
        <v>1</v>
      </c>
      <c r="AA78" s="168">
        <v>2</v>
      </c>
      <c r="AB78" s="168">
        <v>50</v>
      </c>
      <c r="AC78" s="85">
        <v>90</v>
      </c>
      <c r="AD78" s="85">
        <v>10</v>
      </c>
    </row>
    <row r="79" spans="1:30" x14ac:dyDescent="0.25">
      <c r="A79" s="72"/>
      <c r="B79" s="75" t="s">
        <v>87</v>
      </c>
      <c r="C79" s="694">
        <v>0.7</v>
      </c>
      <c r="D79" s="740">
        <v>33.4</v>
      </c>
      <c r="E79" s="725">
        <v>15.35</v>
      </c>
      <c r="F79" s="761">
        <v>50.97</v>
      </c>
      <c r="G79" s="756"/>
      <c r="H79" s="757"/>
      <c r="I79" s="758"/>
      <c r="J79" s="759"/>
      <c r="K79" s="682"/>
      <c r="L79" s="694">
        <v>4</v>
      </c>
      <c r="M79" s="774">
        <v>6.8</v>
      </c>
      <c r="N79" s="774">
        <v>6.8</v>
      </c>
      <c r="O79" s="774">
        <v>6.8</v>
      </c>
      <c r="P79" s="740">
        <v>30</v>
      </c>
      <c r="Q79" s="683">
        <v>0</v>
      </c>
      <c r="R79" s="810">
        <v>0</v>
      </c>
      <c r="S79" s="685"/>
      <c r="T79" s="782">
        <v>45</v>
      </c>
      <c r="U79" s="783">
        <v>45</v>
      </c>
      <c r="V79" s="847">
        <v>0.7</v>
      </c>
      <c r="W79" s="824"/>
      <c r="X79" s="825"/>
      <c r="Y79" s="826"/>
      <c r="Z79" s="168">
        <v>1</v>
      </c>
      <c r="AA79" s="168">
        <v>2</v>
      </c>
      <c r="AB79" s="168">
        <v>50</v>
      </c>
      <c r="AC79" s="85">
        <v>90</v>
      </c>
      <c r="AD79" s="85">
        <v>10</v>
      </c>
    </row>
    <row r="80" spans="1:30" x14ac:dyDescent="0.25">
      <c r="A80" s="72"/>
      <c r="B80" s="75" t="s">
        <v>88</v>
      </c>
      <c r="C80" s="695">
        <v>1.1000000000000001</v>
      </c>
      <c r="D80" s="740">
        <v>53.6</v>
      </c>
      <c r="E80" s="725">
        <v>23.37</v>
      </c>
      <c r="F80" s="742">
        <v>67</v>
      </c>
      <c r="G80" s="756"/>
      <c r="H80" s="757"/>
      <c r="I80" s="758"/>
      <c r="J80" s="759"/>
      <c r="K80" s="682"/>
      <c r="L80" s="694">
        <v>6</v>
      </c>
      <c r="M80" s="774">
        <v>11.2</v>
      </c>
      <c r="N80" s="774">
        <v>11.2</v>
      </c>
      <c r="O80" s="774">
        <v>11.2</v>
      </c>
      <c r="P80" s="740">
        <v>30</v>
      </c>
      <c r="Q80" s="683">
        <v>0</v>
      </c>
      <c r="R80" s="810">
        <v>0</v>
      </c>
      <c r="S80" s="685"/>
      <c r="T80" s="782">
        <v>45</v>
      </c>
      <c r="U80" s="783">
        <v>45</v>
      </c>
      <c r="V80" s="847">
        <v>0.7</v>
      </c>
      <c r="W80" s="824"/>
      <c r="X80" s="825"/>
      <c r="Y80" s="826"/>
      <c r="Z80" s="168">
        <v>1</v>
      </c>
      <c r="AA80" s="168">
        <v>2</v>
      </c>
      <c r="AB80" s="168">
        <v>50</v>
      </c>
      <c r="AC80" s="85">
        <v>90</v>
      </c>
      <c r="AD80" s="85">
        <v>10</v>
      </c>
    </row>
    <row r="81" spans="1:30" x14ac:dyDescent="0.25">
      <c r="A81" s="72"/>
      <c r="B81" s="68" t="s">
        <v>89</v>
      </c>
      <c r="C81" s="697">
        <v>3.2000000000000001E-2</v>
      </c>
      <c r="D81" s="740">
        <v>9.6999999999999993</v>
      </c>
      <c r="E81" s="741">
        <v>5.4</v>
      </c>
      <c r="F81" s="742">
        <v>8.3000000000000007</v>
      </c>
      <c r="G81" s="756"/>
      <c r="H81" s="757"/>
      <c r="I81" s="758"/>
      <c r="J81" s="695">
        <v>0.9</v>
      </c>
      <c r="K81" s="687"/>
      <c r="L81" s="720">
        <v>0.32</v>
      </c>
      <c r="M81" s="774">
        <v>1.22</v>
      </c>
      <c r="N81" s="774">
        <v>1.22</v>
      </c>
      <c r="O81" s="774">
        <v>1.22</v>
      </c>
      <c r="P81" s="740">
        <v>30</v>
      </c>
      <c r="Q81" s="683">
        <v>0</v>
      </c>
      <c r="R81" s="810">
        <v>0</v>
      </c>
      <c r="S81" s="685"/>
      <c r="T81" s="782">
        <v>45</v>
      </c>
      <c r="U81" s="783">
        <v>45</v>
      </c>
      <c r="V81" s="847">
        <v>0.9</v>
      </c>
      <c r="W81" s="824"/>
      <c r="X81" s="825"/>
      <c r="Y81" s="826"/>
      <c r="Z81" s="168">
        <v>5</v>
      </c>
      <c r="AA81" s="168">
        <v>5</v>
      </c>
      <c r="AB81" s="168">
        <v>50</v>
      </c>
      <c r="AC81" s="85">
        <v>90</v>
      </c>
      <c r="AD81" s="85">
        <v>10</v>
      </c>
    </row>
    <row r="82" spans="1:30" x14ac:dyDescent="0.25">
      <c r="A82" s="77"/>
      <c r="B82" s="703" t="s">
        <v>90</v>
      </c>
      <c r="C82" s="694">
        <v>0.15</v>
      </c>
      <c r="D82" s="747">
        <v>15.83</v>
      </c>
      <c r="E82" s="741">
        <v>4.5</v>
      </c>
      <c r="F82" s="742">
        <v>17.600000000000001</v>
      </c>
      <c r="G82" s="756"/>
      <c r="H82" s="757"/>
      <c r="I82" s="758"/>
      <c r="J82" s="759"/>
      <c r="K82" s="682"/>
      <c r="L82" s="694"/>
      <c r="M82" s="788"/>
      <c r="N82" s="789"/>
      <c r="O82" s="774"/>
      <c r="P82" s="797"/>
      <c r="Q82" s="683">
        <v>0</v>
      </c>
      <c r="R82" s="810">
        <v>0</v>
      </c>
      <c r="S82" s="685"/>
      <c r="T82" s="782">
        <v>45</v>
      </c>
      <c r="U82" s="783">
        <v>45</v>
      </c>
      <c r="V82" s="847">
        <v>0.9</v>
      </c>
      <c r="W82" s="818"/>
      <c r="X82" s="819"/>
      <c r="Y82" s="820"/>
      <c r="Z82" s="168">
        <v>1</v>
      </c>
      <c r="AA82" s="168">
        <v>2</v>
      </c>
      <c r="AB82" s="168">
        <v>50</v>
      </c>
      <c r="AC82" s="85">
        <v>90</v>
      </c>
      <c r="AD82" s="85">
        <v>10</v>
      </c>
    </row>
    <row r="83" spans="1:30" x14ac:dyDescent="0.25">
      <c r="A83" s="77"/>
      <c r="B83" s="702" t="s">
        <v>305</v>
      </c>
      <c r="C83" s="695">
        <v>0.23</v>
      </c>
      <c r="D83" s="710">
        <v>21.6</v>
      </c>
      <c r="E83" s="762">
        <v>6.19</v>
      </c>
      <c r="F83" s="763">
        <v>24</v>
      </c>
      <c r="G83" s="756"/>
      <c r="H83" s="757"/>
      <c r="I83" s="764"/>
      <c r="J83" s="759"/>
      <c r="K83" s="682"/>
      <c r="L83" s="790"/>
      <c r="M83" s="788"/>
      <c r="N83" s="789"/>
      <c r="O83" s="791"/>
      <c r="P83" s="797"/>
      <c r="Q83" s="683"/>
      <c r="R83" s="810">
        <v>0</v>
      </c>
      <c r="S83" s="685"/>
      <c r="T83" s="782">
        <v>45</v>
      </c>
      <c r="U83" s="783">
        <v>45</v>
      </c>
      <c r="V83" s="847">
        <v>0.9</v>
      </c>
      <c r="W83" s="818"/>
      <c r="X83" s="819"/>
      <c r="Y83" s="820"/>
      <c r="Z83" s="168">
        <v>1</v>
      </c>
      <c r="AA83" s="168">
        <v>2</v>
      </c>
      <c r="AB83" s="168">
        <v>50</v>
      </c>
      <c r="AC83" s="85">
        <v>90</v>
      </c>
      <c r="AD83" s="85">
        <v>10</v>
      </c>
    </row>
    <row r="84" spans="1:30" x14ac:dyDescent="0.25">
      <c r="A84" s="76"/>
      <c r="B84" s="700" t="s">
        <v>91</v>
      </c>
      <c r="C84" s="694">
        <v>0.3</v>
      </c>
      <c r="D84" s="740">
        <v>22.7</v>
      </c>
      <c r="E84" s="741">
        <v>7.2</v>
      </c>
      <c r="F84" s="742">
        <v>27</v>
      </c>
      <c r="G84" s="756"/>
      <c r="H84" s="757"/>
      <c r="I84" s="758"/>
      <c r="J84" s="759"/>
      <c r="K84" s="682"/>
      <c r="L84" s="694"/>
      <c r="M84" s="788"/>
      <c r="N84" s="789"/>
      <c r="O84" s="774"/>
      <c r="P84" s="797"/>
      <c r="Q84" s="683">
        <v>0</v>
      </c>
      <c r="R84" s="810">
        <v>0</v>
      </c>
      <c r="S84" s="685"/>
      <c r="T84" s="782">
        <v>45</v>
      </c>
      <c r="U84" s="783">
        <v>45</v>
      </c>
      <c r="V84" s="847">
        <v>0.9</v>
      </c>
      <c r="W84" s="818"/>
      <c r="X84" s="819"/>
      <c r="Y84" s="820"/>
      <c r="Z84" s="168">
        <v>1</v>
      </c>
      <c r="AA84" s="168">
        <v>2</v>
      </c>
      <c r="AB84" s="168">
        <v>50</v>
      </c>
      <c r="AC84" s="85">
        <v>90</v>
      </c>
      <c r="AD84" s="85">
        <v>10</v>
      </c>
    </row>
    <row r="85" spans="1:30" x14ac:dyDescent="0.25">
      <c r="A85" s="76"/>
      <c r="B85" s="701" t="s">
        <v>306</v>
      </c>
      <c r="C85" s="695">
        <v>0.45</v>
      </c>
      <c r="D85" s="710">
        <v>31</v>
      </c>
      <c r="E85" s="762">
        <v>9.9</v>
      </c>
      <c r="F85" s="763">
        <v>36.9</v>
      </c>
      <c r="G85" s="756"/>
      <c r="H85" s="757"/>
      <c r="I85" s="764"/>
      <c r="J85" s="759"/>
      <c r="K85" s="682"/>
      <c r="L85" s="790"/>
      <c r="M85" s="788"/>
      <c r="N85" s="789"/>
      <c r="O85" s="791"/>
      <c r="P85" s="797"/>
      <c r="Q85" s="683">
        <v>0</v>
      </c>
      <c r="R85" s="810">
        <v>0</v>
      </c>
      <c r="S85" s="685"/>
      <c r="T85" s="782">
        <v>45</v>
      </c>
      <c r="U85" s="783">
        <v>45</v>
      </c>
      <c r="V85" s="847">
        <v>0.9</v>
      </c>
      <c r="W85" s="818"/>
      <c r="X85" s="819"/>
      <c r="Y85" s="820"/>
      <c r="Z85" s="168">
        <v>1</v>
      </c>
      <c r="AA85" s="168">
        <v>2</v>
      </c>
      <c r="AB85" s="168">
        <v>50</v>
      </c>
      <c r="AC85" s="85">
        <v>90</v>
      </c>
      <c r="AD85" s="85">
        <v>10</v>
      </c>
    </row>
    <row r="86" spans="1:30" ht="13.8" thickBot="1" x14ac:dyDescent="0.3">
      <c r="A86" s="76"/>
      <c r="B86" s="699" t="s">
        <v>307</v>
      </c>
      <c r="C86" s="704">
        <v>0.28000000000000003</v>
      </c>
      <c r="D86" s="765">
        <v>22.7</v>
      </c>
      <c r="E86" s="766">
        <v>7.2</v>
      </c>
      <c r="F86" s="767">
        <v>27</v>
      </c>
      <c r="G86" s="768"/>
      <c r="H86" s="769"/>
      <c r="I86" s="770"/>
      <c r="J86" s="771"/>
      <c r="K86" s="682"/>
      <c r="L86" s="775">
        <v>2</v>
      </c>
      <c r="M86" s="776">
        <v>3.4</v>
      </c>
      <c r="N86" s="776">
        <v>3.4</v>
      </c>
      <c r="O86" s="776">
        <v>3.4</v>
      </c>
      <c r="P86" s="740">
        <v>40</v>
      </c>
      <c r="Q86" s="683">
        <v>0</v>
      </c>
      <c r="R86" s="810">
        <v>0</v>
      </c>
      <c r="S86" s="685"/>
      <c r="T86" s="782">
        <v>45</v>
      </c>
      <c r="U86" s="783">
        <v>45</v>
      </c>
      <c r="V86" s="847">
        <v>0.9</v>
      </c>
      <c r="W86" s="818"/>
      <c r="X86" s="819"/>
      <c r="Y86" s="820"/>
      <c r="Z86" s="168">
        <v>1</v>
      </c>
      <c r="AA86" s="168">
        <v>2</v>
      </c>
      <c r="AB86" s="168">
        <v>50</v>
      </c>
      <c r="AC86" s="772">
        <v>90</v>
      </c>
      <c r="AD86" s="772">
        <v>10</v>
      </c>
    </row>
    <row r="87" spans="1:30" ht="13.8" thickBot="1" x14ac:dyDescent="0.3">
      <c r="A87" s="78"/>
      <c r="B87" s="812" t="s">
        <v>308</v>
      </c>
      <c r="C87" s="817">
        <f>ROUND(0.1+270/365*1.1*0.05,2)</f>
        <v>0.14000000000000001</v>
      </c>
      <c r="D87" s="815">
        <f>ROUND(D86*0.5,2)</f>
        <v>11.35</v>
      </c>
      <c r="E87" s="816">
        <f>ROUND(E86*0.5,2)</f>
        <v>3.6</v>
      </c>
      <c r="F87" s="816">
        <f>ROUND(F86*0.5,2)</f>
        <v>13.5</v>
      </c>
      <c r="G87" s="768"/>
      <c r="H87" s="769"/>
      <c r="I87" s="770"/>
      <c r="J87" s="814"/>
      <c r="K87" s="690"/>
      <c r="L87" s="813">
        <f>ROUND(L86*0.5,2)</f>
        <v>1</v>
      </c>
      <c r="M87" s="813">
        <f t="shared" ref="M87:N87" si="10">ROUND(M86*0.5,2)</f>
        <v>1.7</v>
      </c>
      <c r="N87" s="813">
        <f t="shared" si="10"/>
        <v>1.7</v>
      </c>
      <c r="O87" s="813">
        <f>ROUND(O86*0.5,2)</f>
        <v>1.7</v>
      </c>
      <c r="P87" s="796">
        <v>40</v>
      </c>
      <c r="Q87" s="691">
        <v>0</v>
      </c>
      <c r="R87" s="811">
        <v>0</v>
      </c>
      <c r="S87" s="692"/>
      <c r="T87" s="784">
        <v>45</v>
      </c>
      <c r="U87" s="785">
        <v>45</v>
      </c>
      <c r="V87" s="847">
        <v>0.9</v>
      </c>
      <c r="W87" s="821"/>
      <c r="X87" s="822"/>
      <c r="Y87" s="823"/>
      <c r="Z87" s="168">
        <v>1</v>
      </c>
      <c r="AA87" s="168">
        <v>2</v>
      </c>
      <c r="AB87" s="168">
        <v>50</v>
      </c>
      <c r="AC87" s="85">
        <v>90</v>
      </c>
      <c r="AD87" s="85">
        <v>10</v>
      </c>
    </row>
    <row r="89" spans="1:30" x14ac:dyDescent="0.25">
      <c r="G89" s="84" t="s">
        <v>267</v>
      </c>
    </row>
    <row r="90" spans="1:30" x14ac:dyDescent="0.25">
      <c r="F90" s="83" t="s">
        <v>0</v>
      </c>
      <c r="G90" s="84" t="s">
        <v>10</v>
      </c>
      <c r="H90" s="83" t="s">
        <v>12</v>
      </c>
    </row>
    <row r="91" spans="1:30" x14ac:dyDescent="0.25">
      <c r="D91" s="80" t="s">
        <v>23</v>
      </c>
    </row>
    <row r="92" spans="1:30" x14ac:dyDescent="0.25">
      <c r="D92" s="81" t="s">
        <v>56</v>
      </c>
      <c r="F92" s="83">
        <v>50</v>
      </c>
      <c r="G92" s="84">
        <v>90</v>
      </c>
      <c r="H92" s="83">
        <v>10</v>
      </c>
    </row>
    <row r="93" spans="1:30" x14ac:dyDescent="0.25">
      <c r="D93" s="81" t="s">
        <v>92</v>
      </c>
      <c r="F93" s="83">
        <v>60</v>
      </c>
      <c r="G93" s="84">
        <v>90</v>
      </c>
      <c r="H93" s="83">
        <v>10</v>
      </c>
    </row>
    <row r="94" spans="1:30" x14ac:dyDescent="0.25">
      <c r="D94" s="81" t="s">
        <v>93</v>
      </c>
      <c r="F94" s="83">
        <v>50</v>
      </c>
      <c r="G94" s="84">
        <v>90</v>
      </c>
      <c r="H94" s="83">
        <v>45</v>
      </c>
    </row>
    <row r="95" spans="1:30" x14ac:dyDescent="0.25">
      <c r="D95" s="79" t="s">
        <v>94</v>
      </c>
      <c r="F95" s="83">
        <v>50</v>
      </c>
      <c r="G95" s="84">
        <v>90</v>
      </c>
      <c r="H95" s="83">
        <v>10</v>
      </c>
    </row>
    <row r="98" spans="4:4" x14ac:dyDescent="0.25">
      <c r="D98" s="83" t="s">
        <v>154</v>
      </c>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10">
    <mergeCell ref="AB5:AD5"/>
    <mergeCell ref="W5:Y5"/>
    <mergeCell ref="W6:Y6"/>
    <mergeCell ref="M7:O7"/>
    <mergeCell ref="G5:J5"/>
    <mergeCell ref="M5:O5"/>
    <mergeCell ref="T5:U5"/>
    <mergeCell ref="G6:J6"/>
    <mergeCell ref="M6:O6"/>
    <mergeCell ref="T6:U6"/>
  </mergeCells>
  <pageMargins left="0.70866141732283472" right="0.70866141732283472" top="0.78740157480314965" bottom="0.78740157480314965" header="0.31496062992125984" footer="0.31496062992125984"/>
  <pageSetup paperSize="8" scale="7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2:B8"/>
  <sheetViews>
    <sheetView workbookViewId="0">
      <selection activeCell="B9" sqref="B9"/>
    </sheetView>
  </sheetViews>
  <sheetFormatPr baseColWidth="10" defaultRowHeight="13.2" x14ac:dyDescent="0.25"/>
  <sheetData>
    <row r="2" spans="1:2" x14ac:dyDescent="0.25">
      <c r="A2">
        <v>1</v>
      </c>
      <c r="B2" s="46" t="s">
        <v>43</v>
      </c>
    </row>
    <row r="3" spans="1:2" x14ac:dyDescent="0.25">
      <c r="A3">
        <v>2</v>
      </c>
      <c r="B3" s="46" t="s">
        <v>44</v>
      </c>
    </row>
    <row r="4" spans="1:2" x14ac:dyDescent="0.25">
      <c r="A4">
        <v>3</v>
      </c>
      <c r="B4" s="46" t="s">
        <v>45</v>
      </c>
    </row>
    <row r="7" spans="1:2" x14ac:dyDescent="0.25">
      <c r="B7">
        <v>2022</v>
      </c>
    </row>
    <row r="8" spans="1:2" x14ac:dyDescent="0.25">
      <c r="B8">
        <v>2023</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Berech. Lagerraum flüssig+fest</vt:lpstr>
      <vt:lpstr>Abweichende Werte</vt:lpstr>
      <vt:lpstr>Tiere</vt:lpstr>
      <vt:lpstr>Stroh</vt:lpstr>
      <vt:lpstr>'Berech. Lagerraum flüssig+fest'!Druckbereich</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lagerraum_2022_2023</dc:title>
  <dc:creator>msbo</dc:creator>
  <cp:lastModifiedBy>Schmücker, Rebekka (LfL)</cp:lastModifiedBy>
  <cp:lastPrinted>2022-09-12T08:08:42Z</cp:lastPrinted>
  <dcterms:created xsi:type="dcterms:W3CDTF">2006-11-22T08:57:22Z</dcterms:created>
  <dcterms:modified xsi:type="dcterms:W3CDTF">2022-09-12T08:08:51Z</dcterms:modified>
</cp:coreProperties>
</file>